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defaultThemeVersion="124226"/>
  <mc:AlternateContent xmlns:mc="http://schemas.openxmlformats.org/markup-compatibility/2006">
    <mc:Choice Requires="x15">
      <x15ac:absPath xmlns:x15ac="http://schemas.microsoft.com/office/spreadsheetml/2010/11/ac" url="S:\DIV-2\211\PROJECT\051059\Project Working\WO#14\Project Working\"/>
    </mc:Choice>
  </mc:AlternateContent>
  <xr:revisionPtr revIDLastSave="0" documentId="13_ncr:1_{9027946E-11BB-4058-B792-5F91A30BC393}" xr6:coauthVersionLast="36" xr6:coauthVersionMax="36" xr10:uidLastSave="{00000000-0000-0000-0000-000000000000}"/>
  <bookViews>
    <workbookView xWindow="120" yWindow="18675" windowWidth="19020" windowHeight="12120" tabRatio="797" activeTab="1" xr2:uid="{00000000-000D-0000-FFFF-FFFF00000000}"/>
  </bookViews>
  <sheets>
    <sheet name="Instructions" sheetId="1" r:id="rId1"/>
    <sheet name="Input" sheetId="3" r:id="rId2"/>
    <sheet name="Overrides" sheetId="4" r:id="rId3"/>
    <sheet name="Report" sheetId="5" r:id="rId4"/>
    <sheet name="Summary" sheetId="20" r:id="rId5"/>
    <sheet name="Lists" sheetId="7" r:id="rId6"/>
    <sheet name="Tables" sheetId="8" r:id="rId7"/>
    <sheet name="References" sheetId="6" r:id="rId8"/>
    <sheet name="Values" sheetId="13" r:id="rId9"/>
    <sheet name="Volumes" sheetId="17" r:id="rId10"/>
    <sheet name="Delay" sheetId="9" r:id="rId11"/>
    <sheet name="Queuing" sheetId="10" r:id="rId12"/>
    <sheet name="Costs" sheetId="11" r:id="rId13"/>
    <sheet name="Calculations" sheetId="19" r:id="rId14"/>
    <sheet name="Updater" sheetId="12" r:id="rId15"/>
  </sheets>
  <definedNames>
    <definedName name="AddDelAll1">Values!$H$94</definedName>
    <definedName name="AddDelAll2">Values!$K$94</definedName>
    <definedName name="AddDelCT1">Values!$H$97</definedName>
    <definedName name="AddDelCT2">Values!$K$97</definedName>
    <definedName name="AddDelPC1">Values!$H$95</definedName>
    <definedName name="AddDelPC2">Values!$K$95</definedName>
    <definedName name="AddDelRV1">Values!$H$98</definedName>
    <definedName name="AddDelRV2">Values!$K$98</definedName>
    <definedName name="AddDelSU1">Values!$H$96</definedName>
    <definedName name="AddDelSU2">Values!$K$96</definedName>
    <definedName name="AddDistD11">Delay!$G$76</definedName>
    <definedName name="AddDistD12">Delay!$J$76</definedName>
    <definedName name="AddDistD21">Delay!$G$77</definedName>
    <definedName name="AddDistD22">Delay!$J$77</definedName>
    <definedName name="AddDistD31">Delay!$G$78</definedName>
    <definedName name="AddDistD32">Delay!$J$78</definedName>
    <definedName name="AddTimeD11">Delay!$G$72</definedName>
    <definedName name="AddTimeD12">Delay!$J$72</definedName>
    <definedName name="AddTimeD21">Delay!$G$73</definedName>
    <definedName name="AddTimeD22">Delay!$J$73</definedName>
    <definedName name="AddTimeD31">Delay!$G$74</definedName>
    <definedName name="AddTimeD32">Delay!$J$74</definedName>
    <definedName name="AddTimeFCT1">Delay!$G$68</definedName>
    <definedName name="AddTimeFCT2">Delay!$J$68</definedName>
    <definedName name="AddTimeFPC1">Delay!$G$66</definedName>
    <definedName name="AddTimeFPC2">Delay!$J$66</definedName>
    <definedName name="AddTimeFRV1">Delay!$G$69</definedName>
    <definedName name="AddTimeFRV2">Delay!$J$69</definedName>
    <definedName name="AddTimeFSU1">Delay!$G$67</definedName>
    <definedName name="AddTimeFSU2">Delay!$J$67</definedName>
    <definedName name="AddTimeQCT1" localSheetId="4">Delay!#REF!</definedName>
    <definedName name="AddTimeQCT1">Delay!#REF!</definedName>
    <definedName name="AddTimeQCT2" localSheetId="4">Delay!#REF!</definedName>
    <definedName name="AddTimeQCT2">Delay!#REF!</definedName>
    <definedName name="AddTimeQPC1" localSheetId="4">Delay!#REF!</definedName>
    <definedName name="AddTimeQPC1">Delay!#REF!</definedName>
    <definedName name="AddTimeQPC2" localSheetId="4">Delay!#REF!</definedName>
    <definedName name="AddTimeQPC2">Delay!#REF!</definedName>
    <definedName name="AddTimeQRV1" localSheetId="4">Delay!#REF!</definedName>
    <definedName name="AddTimeQRV1">Delay!#REF!</definedName>
    <definedName name="AddTimeQRV2" localSheetId="4">Delay!#REF!</definedName>
    <definedName name="AddTimeQRV2">Delay!#REF!</definedName>
    <definedName name="AddTimeQSU1" localSheetId="4">Delay!#REF!</definedName>
    <definedName name="AddTimeQSU1">Delay!#REF!</definedName>
    <definedName name="AddTimeQSU2" localSheetId="4">Delay!#REF!</definedName>
    <definedName name="AddTimeQSU2">Delay!#REF!</definedName>
    <definedName name="AddTimeTravel1">Delay!$G$20</definedName>
    <definedName name="AddTimeTravel2">Delay!$J$20</definedName>
    <definedName name="AddTimeWZCT1">Delay!$G$39</definedName>
    <definedName name="AddTimeWZCT2">Delay!$J$39</definedName>
    <definedName name="AddTimeWZPC1">Delay!$G$37</definedName>
    <definedName name="AddTimeWZPC2">Delay!$J$37</definedName>
    <definedName name="AddTimeWZRV1">Delay!$G$40</definedName>
    <definedName name="AddTimeWZRV2">Delay!$J$40</definedName>
    <definedName name="AddTimeWZSU1">Delay!$G$38</definedName>
    <definedName name="AddTimeWZSU2">Delay!$J$38</definedName>
    <definedName name="ADTCT1">Values!$G$198</definedName>
    <definedName name="ADTCT1d1">Values!$G$195</definedName>
    <definedName name="ADTCT1d2">Values!$G$196</definedName>
    <definedName name="ADTCT1d3">Values!$G$197</definedName>
    <definedName name="ADTCT1wz">Values!$G$194</definedName>
    <definedName name="ADTCT2">Values!$M$198</definedName>
    <definedName name="ADTCT2d1">Values!$M$195</definedName>
    <definedName name="ADTCT2d2">Values!$M$196</definedName>
    <definedName name="ADTCT2d3">Values!$M$197</definedName>
    <definedName name="ADTCT2wz">Values!$M$194</definedName>
    <definedName name="ADTex1">Values!$I$58</definedName>
    <definedName name="ADTex2">Values!$L$58</definedName>
    <definedName name="ADTexr1">Values!$I$55</definedName>
    <definedName name="ADTexr2">Values!$L$55</definedName>
    <definedName name="ADTexrTOT">Values!$N$55</definedName>
    <definedName name="ADTexTOT">Values!$N$58</definedName>
    <definedName name="ADTPC1">Values!$E$198</definedName>
    <definedName name="ADTPC1d1">Values!$E$195</definedName>
    <definedName name="ADTPC1d2">Values!$E$196</definedName>
    <definedName name="ADTPC1d3">Values!$E$197</definedName>
    <definedName name="ADTPC1wz">Values!$E$194</definedName>
    <definedName name="ADTPC2">Values!$K$198</definedName>
    <definedName name="ADTPC2d1">Values!$K$195</definedName>
    <definedName name="ADTPC2d2">Values!$K$196</definedName>
    <definedName name="ADTPC2d3">Values!$K$197</definedName>
    <definedName name="ADTPC2wz">Values!$K$194</definedName>
    <definedName name="ADTPCE1">Values!$I$198</definedName>
    <definedName name="ADTPCE1d1">Values!$I$195</definedName>
    <definedName name="ADTPCE1d2">Values!$I$196</definedName>
    <definedName name="ADTPCE1d3">Values!$I$197</definedName>
    <definedName name="ADTPCE1wz">Values!$I$194</definedName>
    <definedName name="ADTPCE2">Values!$O$198</definedName>
    <definedName name="ADTPCE2d1">Values!$O$195</definedName>
    <definedName name="ADTPCE2d2">Values!$O$196</definedName>
    <definedName name="ADTPCE2d3">Values!$O$197</definedName>
    <definedName name="ADTPCE2wz">Values!$O$194</definedName>
    <definedName name="ADTPCETot" localSheetId="4">Values!#REF!</definedName>
    <definedName name="ADTPCETot">Values!#REF!</definedName>
    <definedName name="ADTRV1">Values!$H$198</definedName>
    <definedName name="ADTRV1d1">Values!$H$195</definedName>
    <definedName name="ADTRV1d2">Values!$H$196</definedName>
    <definedName name="ADTRV1d3">Values!$H$197</definedName>
    <definedName name="ADTRV1wz">Values!$H$194</definedName>
    <definedName name="ADTRV2">Values!$N$198</definedName>
    <definedName name="ADTRV2d1">Values!$N$195</definedName>
    <definedName name="ADTRV2d2">Values!$N$196</definedName>
    <definedName name="ADTRV2d3">Values!$N$197</definedName>
    <definedName name="ADTRV2wz">Values!$N$194</definedName>
    <definedName name="ADTSU1">Values!$F$198</definedName>
    <definedName name="ADTSU1d1">Values!$F$195</definedName>
    <definedName name="ADTSU1d2">Values!$F$196</definedName>
    <definedName name="ADTSU1d3">Values!$F$197</definedName>
    <definedName name="ADTSU1wz">Values!$F$194</definedName>
    <definedName name="ADTSU2">Values!$L$198</definedName>
    <definedName name="ADTSU2d1">Values!$L$195</definedName>
    <definedName name="ADTSU2d2">Values!$L$196</definedName>
    <definedName name="ADTSU2d3">Values!$L$197</definedName>
    <definedName name="ADTSU2wz">Values!$L$194</definedName>
    <definedName name="ADTtot1">Values!$D$198</definedName>
    <definedName name="ADTtot1d1">Values!$D$195</definedName>
    <definedName name="ADTtot1d2">Values!$D$196</definedName>
    <definedName name="ADTtot1d3">Values!$D$197</definedName>
    <definedName name="ADTtot1wz">Values!$D$194</definedName>
    <definedName name="ADTtot2">Values!$J$198</definedName>
    <definedName name="ADTtot2d1">Values!$J$195</definedName>
    <definedName name="ADTtot2d2">Values!$J$196</definedName>
    <definedName name="ADTtot2d3">Values!$J$197</definedName>
    <definedName name="ADTtot2wz">Values!$J$194</definedName>
    <definedName name="APDentry1">Values!$H$44</definedName>
    <definedName name="APDentry2">Values!$K$44</definedName>
    <definedName name="APDFactor1">Values!$H$45</definedName>
    <definedName name="APDFactor2">Values!$K$45</definedName>
    <definedName name="AvgLength1">Values!$G$206</definedName>
    <definedName name="AvgLength2">Values!$M$206</definedName>
    <definedName name="AvgQStop1">Values!$G$213</definedName>
    <definedName name="AvgQStop2">Values!$M$213</definedName>
    <definedName name="AVOct">Values!$M$235</definedName>
    <definedName name="AVOctDefault">Tables!$AL$131</definedName>
    <definedName name="AVOctOverride">Overrides!$AA$16</definedName>
    <definedName name="AVOpcb">Values!$M$223</definedName>
    <definedName name="AVOpcbDefault">Tables!$AL$129</definedName>
    <definedName name="AVOpcbOverride">Overrides!$AA$14</definedName>
    <definedName name="AVOpcp">Values!$M$218</definedName>
    <definedName name="AVOpcpDefault">Tables!$AL$128</definedName>
    <definedName name="AVOpcpOverride">Overrides!$AA$13</definedName>
    <definedName name="AVOsu">Values!$M$231</definedName>
    <definedName name="AVOsuDefault">Tables!$AL$130</definedName>
    <definedName name="AVOsuOverride">Overrides!$AA$15</definedName>
    <definedName name="BaseYear">Values!$F$13</definedName>
    <definedName name="BFFSex1">Values!$H$28</definedName>
    <definedName name="BFFSex2">Values!$K$28</definedName>
    <definedName name="BWZC1">Values!$H$89</definedName>
    <definedName name="BWZC2">Values!$K$89</definedName>
    <definedName name="Capacity1">Delay!$G$9</definedName>
    <definedName name="Capacity2">Delay!$J$9</definedName>
    <definedName name="CapacityEx1">Values!$H$50</definedName>
    <definedName name="CapacityEx2">Values!$K$50</definedName>
    <definedName name="Classification">Input!$I$28</definedName>
    <definedName name="CodeClassification">Values!$F$17</definedName>
    <definedName name="CodeHCM">Values!$F$21</definedName>
    <definedName name="CodeMonth">Values!$F$25</definedName>
    <definedName name="CodeTPG">Values!$F$19</definedName>
    <definedName name="Commodities">Values!$O$278</definedName>
    <definedName name="ConstructionYear">Values!$F$14</definedName>
    <definedName name="ContractAmount">Input!$I$17</definedName>
    <definedName name="County">Input!$I$14</definedName>
    <definedName name="CPCTd11">Costs!$I$42</definedName>
    <definedName name="CPCTd12">Costs!$N$42</definedName>
    <definedName name="CPCTd21">Costs!$I$43</definedName>
    <definedName name="CPCTd22">Costs!$N$43</definedName>
    <definedName name="CPCTd31">Costs!$I$44</definedName>
    <definedName name="CPCTd32">Costs!$N$44</definedName>
    <definedName name="CPCTf1">Costs!$I$41</definedName>
    <definedName name="CPCTf2">Costs!$N$41</definedName>
    <definedName name="CPCTq1">Costs!$I$40</definedName>
    <definedName name="CPCTq2">Costs!$N$40</definedName>
    <definedName name="CPCTwz1">Costs!$I$39</definedName>
    <definedName name="CPCTwz2">Costs!$N$39</definedName>
    <definedName name="CPHct">Values!$O$288</definedName>
    <definedName name="CPHpcb">Values!$O$282</definedName>
    <definedName name="CPHpcp">Values!$M$217</definedName>
    <definedName name="CPHsu">Values!$O$285</definedName>
    <definedName name="CPPCd11">Costs!$G$42</definedName>
    <definedName name="CPPCd12">Costs!$L$42</definedName>
    <definedName name="CPPCd21">Costs!$G$43</definedName>
    <definedName name="CPPCd22">Costs!$L$43</definedName>
    <definedName name="CPPCd31">Costs!$G$44</definedName>
    <definedName name="CPPCd32">Costs!$L$44</definedName>
    <definedName name="CPPCf1">Costs!$G$41</definedName>
    <definedName name="CPPCf2">Costs!$L$41</definedName>
    <definedName name="CPPCq1">Costs!$G$40</definedName>
    <definedName name="CPPCq2">Costs!$L$40</definedName>
    <definedName name="CPPCwz1">Costs!$G$39</definedName>
    <definedName name="CPPCwz2">Costs!$L$39</definedName>
    <definedName name="CPRVd11">Costs!$J$42</definedName>
    <definedName name="CPRVd12">Costs!$O$42</definedName>
    <definedName name="CPRVd21">Costs!$J$43</definedName>
    <definedName name="CPRVd22">Costs!$O$43</definedName>
    <definedName name="CPRVd31">Costs!$J$44</definedName>
    <definedName name="CPRVd32">Costs!$O$44</definedName>
    <definedName name="CPRVf1">Costs!$J$41</definedName>
    <definedName name="CPRVf2">Costs!$O$41</definedName>
    <definedName name="CPRVq1">Costs!$J$40</definedName>
    <definedName name="CPRVq2">Costs!$O$40</definedName>
    <definedName name="CPRVwz1">Costs!$J$39</definedName>
    <definedName name="CPRVwz2">Costs!$O$39</definedName>
    <definedName name="CPSUd11">Costs!$H$42</definedName>
    <definedName name="CPSUd12">Costs!$M$42</definedName>
    <definedName name="CPSUd21">Costs!$H$43</definedName>
    <definedName name="CPSUd22">Costs!$M$43</definedName>
    <definedName name="CPSUd31">Costs!$H$44</definedName>
    <definedName name="CPSUd32">Costs!$M$44</definedName>
    <definedName name="CPSUf1">Costs!$H$41</definedName>
    <definedName name="CPSUf2">Costs!$M$41</definedName>
    <definedName name="CPSUq1">Costs!$H$40</definedName>
    <definedName name="CPSUq2">Costs!$M$40</definedName>
    <definedName name="CPSUwz1">Costs!$H$39</definedName>
    <definedName name="CPSUwz2">Costs!$M$39</definedName>
    <definedName name="Cycle">Values!$N$92</definedName>
    <definedName name="D1ct1">Values!$H$103</definedName>
    <definedName name="D1ct2">Values!$K$103</definedName>
    <definedName name="D1length1">Values!$D$126</definedName>
    <definedName name="D1length2">Values!$I$126</definedName>
    <definedName name="D1pc1">Values!$H$101</definedName>
    <definedName name="D1pc2">Values!$K$101</definedName>
    <definedName name="D1rv1">Values!$H$104</definedName>
    <definedName name="D1rv2">Values!$K$104</definedName>
    <definedName name="D1su1">Values!$H$102</definedName>
    <definedName name="D1su2">Values!$K$102</definedName>
    <definedName name="D1time1">Values!$H$126</definedName>
    <definedName name="D1time2">Values!$M$126</definedName>
    <definedName name="D1tot1">Values!$H$100</definedName>
    <definedName name="D1tot2">Values!$K$100</definedName>
    <definedName name="D2ct1">Values!$H$131</definedName>
    <definedName name="D2ct2">Values!$K$131</definedName>
    <definedName name="D2length1">Values!$D$154</definedName>
    <definedName name="D2length2">Values!$I$154</definedName>
    <definedName name="D2pc1">Values!$H$129</definedName>
    <definedName name="D2pc2">Values!$K$129</definedName>
    <definedName name="D2rv1">Values!$H$132</definedName>
    <definedName name="D2rv2">Values!$K$132</definedName>
    <definedName name="D2su1">Values!$H$130</definedName>
    <definedName name="D2su2">Values!$K$130</definedName>
    <definedName name="D2time1">Values!$H$154</definedName>
    <definedName name="D2time2">Values!$M$154</definedName>
    <definedName name="D2tot1">Values!$H$128</definedName>
    <definedName name="D2tot2">Values!$K$128</definedName>
    <definedName name="D3ct1">Values!$H$159</definedName>
    <definedName name="D3ct2">Values!$K$159</definedName>
    <definedName name="D3length1">Values!$D$182</definedName>
    <definedName name="D3length2">Values!$I$182</definedName>
    <definedName name="D3pc1">Values!$H$157</definedName>
    <definedName name="D3pc2">Values!$K$157</definedName>
    <definedName name="D3rv1">Values!$H$160</definedName>
    <definedName name="D3rv2">Values!$K$160</definedName>
    <definedName name="D3su1">Values!$H$158</definedName>
    <definedName name="D3su2">Values!$K$158</definedName>
    <definedName name="D3time1">Values!$H$182</definedName>
    <definedName name="D3time2">Values!$M$182</definedName>
    <definedName name="D3tot1">Values!$H$156</definedName>
    <definedName name="D3tot2">Values!$K$156</definedName>
    <definedName name="DepCT">Values!$O$293</definedName>
    <definedName name="DepPC">Values!$O$290</definedName>
    <definedName name="DepRV">Values!$O$294</definedName>
    <definedName name="DepSU">Values!$O$292</definedName>
    <definedName name="Diesel">Values!$O$302</definedName>
    <definedName name="District">Input!$I$13</definedName>
    <definedName name="Duration1">Values!$H$87</definedName>
    <definedName name="Duration2">Values!$K$87</definedName>
    <definedName name="ErrorWarning">Values!$B$361</definedName>
    <definedName name="exFFS1">Values!$H$46</definedName>
    <definedName name="exFFS2">Values!$K$46</definedName>
    <definedName name="f">Input!$T$21</definedName>
    <definedName name="fHVADJ1">Values!$H$66</definedName>
    <definedName name="fHVADJ2">Values!$K$66</definedName>
    <definedName name="fHVrv">Values!$N$68</definedName>
    <definedName name="FHVsuct">Values!$N$67</definedName>
    <definedName name="FirstDetourName">Values!$C$363</definedName>
    <definedName name="FirstDetourOption">Input!$D$94</definedName>
    <definedName name="FirstDirection">Input!$M$32</definedName>
    <definedName name="FreightCostCT">Values!$M$248</definedName>
    <definedName name="FreightCostSU">Values!$M$242</definedName>
    <definedName name="Gasoline">Values!$O$301</definedName>
    <definedName name="Growth" localSheetId="4">Values!#REF!</definedName>
    <definedName name="Growth">Values!#REF!</definedName>
    <definedName name="HCMType">Values!$F$22</definedName>
    <definedName name="HourlyCostCT">Values!$M$257</definedName>
    <definedName name="HourlyCostPC">Values!$M$255</definedName>
    <definedName name="HourlyCostRV">Values!$M$258</definedName>
    <definedName name="HourlyCostSU">Values!$M$256</definedName>
    <definedName name="HourlyDiscount">Values!$O$277</definedName>
    <definedName name="HourlyFactor">Values!$B$331:$D$354</definedName>
    <definedName name="HoursWZ1">Values!$H$86</definedName>
    <definedName name="HoursWZ2">Values!$K$86</definedName>
    <definedName name="IdlingAutos">Tables!$D$153</definedName>
    <definedName name="IdlingCT">Values!$M$262</definedName>
    <definedName name="IdlingPC">Values!$M$260</definedName>
    <definedName name="IdlingRV">Values!$M$263</definedName>
    <definedName name="IdlingSU">Values!$M$261</definedName>
    <definedName name="IdlingTrucks">Tables!$G$153</definedName>
    <definedName name="InflationTotal">Values!$F$16</definedName>
    <definedName name="InflationYearly">Values!$F$15</definedName>
    <definedName name="Intensity1">Values!$H$82</definedName>
    <definedName name="Intensity2">Values!$K$82</definedName>
    <definedName name="LanesEX">Values!$N$27</definedName>
    <definedName name="LanesEX1">Values!$H$27</definedName>
    <definedName name="LanesEX2">Values!$K$27</definedName>
    <definedName name="LanesWZ1">Values!$H$74</definedName>
    <definedName name="LanesWZ2">Values!$K$74</definedName>
    <definedName name="LCFactor1">Values!$H$36</definedName>
    <definedName name="LCFactor2">Values!$K$36</definedName>
    <definedName name="LendingRate">Values!$O$276</definedName>
    <definedName name="Length1">Values!$H$71</definedName>
    <definedName name="Length2">Values!$K$71</definedName>
    <definedName name="ListClassification">Lists!$D$7:$D$18</definedName>
    <definedName name="ListClearance">Lists!$F$7:$F$14</definedName>
    <definedName name="ListCounties">Lists!$B$22:$B$89</definedName>
    <definedName name="ListDetour">Lists!$F$29:$F$31</definedName>
    <definedName name="ListDistricts">Lists!$B$7:$B$18</definedName>
    <definedName name="ListFFS">Lists!$D$29:$D$31</definedName>
    <definedName name="ListHCMType">Lists!$D$22:$D$25</definedName>
    <definedName name="ListHours">Lists!$H$7:$H$32</definedName>
    <definedName name="ListIntensity">Lists!$F$50:$F$53</definedName>
    <definedName name="ListLaneWidth">Lists!$D$28:$D$35</definedName>
    <definedName name="ListLSWZ">Lists!$F$43:$F$46</definedName>
    <definedName name="ListMedian">Lists!$F$36:$F$39</definedName>
    <definedName name="ListMiFt">Lists!$F$24:$F$25</definedName>
    <definedName name="ListMonths">Lists!$H$36:$H$48</definedName>
    <definedName name="ListTerrain">Lists!$F$18:$F$20</definedName>
    <definedName name="ListWidth">Lists!$D$35:$D$42</definedName>
    <definedName name="LoadedCT">Tables!$U$152</definedName>
    <definedName name="LoadedSU">Tables!$T$151</definedName>
    <definedName name="LSLCex1">Values!$H$35</definedName>
    <definedName name="LSLCex2">Values!$K$35</definedName>
    <definedName name="LSLCwz1">Values!$H$80</definedName>
    <definedName name="LSLCwz2">Values!$K$80</definedName>
    <definedName name="LWFactor1">Values!$H$33</definedName>
    <definedName name="LWFactor2">Values!$K$33</definedName>
    <definedName name="MAHI">Values!$O$275</definedName>
    <definedName name="MAHIadjBUSINESS">Tables!$L$130</definedName>
    <definedName name="MAHIadjINTERCITY">Tables!$L$129</definedName>
    <definedName name="MAHIadjLOCAL">Tables!$L$128</definedName>
    <definedName name="MAHIoverride">Overrides!$Y$7</definedName>
    <definedName name="MainDirection">Input!$M$32</definedName>
    <definedName name="MedianFactor">Values!$H$41</definedName>
    <definedName name="MedianType">Values!$N$40</definedName>
    <definedName name="Month">Input!$I$49</definedName>
    <definedName name="Monthly">Values!$N$57</definedName>
    <definedName name="OperatingCT1">Values!$L$267</definedName>
    <definedName name="OperatingCT2">Values!$M$267</definedName>
    <definedName name="OperatingPC1">Values!$L$265</definedName>
    <definedName name="OperatingPC2">Values!$M$265</definedName>
    <definedName name="OperatingRV1">Values!$L$268</definedName>
    <definedName name="OperatingRV2">Values!$M$268</definedName>
    <definedName name="OperatingSU1">Values!$L$266</definedName>
    <definedName name="OperatingSU2">Values!$M$266</definedName>
    <definedName name="PayloadCT">Tables!$P$140</definedName>
    <definedName name="PayloadSU">Tables!$P$137</definedName>
    <definedName name="pctADTCT1">Values!$H$64</definedName>
    <definedName name="pctADTCT2">Values!$K$64</definedName>
    <definedName name="pctADTPC1">Values!$H$62</definedName>
    <definedName name="pctADTPC2">Values!$K$62</definedName>
    <definedName name="pctADTRV1">Values!$H$65</definedName>
    <definedName name="pctADTRV2">Values!$K$65</definedName>
    <definedName name="pctADTSU1">Values!$H$63</definedName>
    <definedName name="pctADTSU2">Values!$K$63</definedName>
    <definedName name="pctADTTrk1">Values!$H$59</definedName>
    <definedName name="pctADTTrk2">Values!$K$59</definedName>
    <definedName name="PCTRBusiness">Tables!$F$129</definedName>
    <definedName name="PCTRPersonal">Tables!$F$128</definedName>
    <definedName name="_xlnm.Print_Area" localSheetId="1">Input!$B$9:$AG$188</definedName>
    <definedName name="_xlnm.Print_Area" localSheetId="3">Report!$B$19:$J$284</definedName>
    <definedName name="_xlnm.Print_Area" localSheetId="4">Summary!$C$5:$K$41</definedName>
    <definedName name="_xlnm.Print_Titles" localSheetId="3">Report!$5:$18</definedName>
    <definedName name="ProjectName">Input!$X$11</definedName>
    <definedName name="QDecel1ct">Delay!$G$50</definedName>
    <definedName name="QDecel1pc">Delay!$G$48</definedName>
    <definedName name="QDecel1rv">Delay!$G$51</definedName>
    <definedName name="QDecel1su">Delay!$G$49</definedName>
    <definedName name="QDecel2ct">Delay!$J$50</definedName>
    <definedName name="QDecel2pc">Delay!$J$48</definedName>
    <definedName name="QDecel2rv">Delay!$J$51</definedName>
    <definedName name="QDecel2su">Delay!$J$49</definedName>
    <definedName name="QSpeed">Values!$C$357</definedName>
    <definedName name="Qspeed1">Values!$B$357</definedName>
    <definedName name="Qspeed2">Values!$D$357</definedName>
    <definedName name="Route">Input!$I$15</definedName>
    <definedName name="RpctCT1">Values!$H$61</definedName>
    <definedName name="RpctCT2">Values!$K$61</definedName>
    <definedName name="RpctSU1">Values!$H$60</definedName>
    <definedName name="RpctSU2">Values!$K$60</definedName>
    <definedName name="RSLCex1">Values!$H$34</definedName>
    <definedName name="RSLCex2">Values!$K$34</definedName>
    <definedName name="RSLCwz1">Values!$H$78</definedName>
    <definedName name="RSLCwz2">Values!$K$78</definedName>
    <definedName name="s">Input!$I$15</definedName>
    <definedName name="ScenarioDescription">Input!$X$12</definedName>
    <definedName name="SecondDetourName">Values!$C$364</definedName>
    <definedName name="SecondDetourOption">Input!$D$129</definedName>
    <definedName name="SecondDirection">Input!$P$32</definedName>
    <definedName name="Section">Input!$I$16</definedName>
    <definedName name="Split1">Values!$H$56</definedName>
    <definedName name="Split2">Values!$K$56</definedName>
    <definedName name="TableAddedTime">Tables!$B$66:$E$82</definedName>
    <definedName name="TableAPDAdj">Tables!$AF$33:$AK$37</definedName>
    <definedName name="TableAPDDefaults">Tables!$X$64:$AI$92</definedName>
    <definedName name="TableBaseCapFW">Tables!$F$23:$I$28</definedName>
    <definedName name="TableBaseCapML">Tables!$F$29:$I$33</definedName>
    <definedName name="TableBaseCapTL">Tables!$F$34:$I$34</definedName>
    <definedName name="TableClassification">Tables!$M$22:$V$31</definedName>
    <definedName name="TableCPI">Tables!$B$171:$I$197</definedName>
    <definedName name="TableDirDefaults">Tables!$X$64:$AI$77</definedName>
    <definedName name="TableFC2TPG">Tables!$B$7:$W$17</definedName>
    <definedName name="TableFFSDefaults">Tables!$X$64:$AI$74</definedName>
    <definedName name="TableFuelConsumption">Tables!$B$153:$I$165</definedName>
    <definedName name="TableHourly">Tables!$B$99:$M$122</definedName>
    <definedName name="TableIntensity">Tables!$B$206:$J$208</definedName>
    <definedName name="TableLengths">Tables!$I$64:$P$69</definedName>
    <definedName name="TableLSAdj">Tables!$AM$25:$AR$27</definedName>
    <definedName name="TableLSLCDefaults">Tables!$X$64:$AI$83</definedName>
    <definedName name="TableLTWZCap">Tables!$K$53:$P$58</definedName>
    <definedName name="TableMedianAdj">Tables!$K$44:$R$46</definedName>
    <definedName name="TableMonthly">Tables!$P$99:$AM$111</definedName>
    <definedName name="TableNIPA">Tables!$K$171:$R$197</definedName>
    <definedName name="TablePCE">Tables!$AD$54:$AL$56</definedName>
    <definedName name="TablePopDefaults">Tables!$X$64:$AI$89</definedName>
    <definedName name="TablePPI">Tables!$T$171:$AI$197</definedName>
    <definedName name="TableRSLCAdj">Tables!$X$24:$AD$30</definedName>
    <definedName name="TableRSLCDefaults">Tables!$X$64:$AI$80</definedName>
    <definedName name="TableShoulderAdj">Tables!$T$43:$AD$46</definedName>
    <definedName name="TableSTWZCap">Tables!$AF$44:$AL$46</definedName>
    <definedName name="TableTerrainDefaults">Tables!$X$64:$AI$71</definedName>
    <definedName name="TableTLCAdj">Tables!$B$45:$I$57</definedName>
    <definedName name="TableTPG2HCM">Tables!$Y$7:$AM$16</definedName>
    <definedName name="TableTranslation1A">Tables!$B$7:$R$17</definedName>
    <definedName name="TableTranslation1B">Tables!$Y$7:$AM$17</definedName>
    <definedName name="TableTruckDefaults">Tables!$X$64:$AI$86</definedName>
    <definedName name="TableWidthCapAdj">Tables!$T$53:$Y$55</definedName>
    <definedName name="TableWidthDefaults">Tables!$X$64:$AI$68</definedName>
    <definedName name="TableWidthSpdAdj">Tables!$AF$23:$AK$25</definedName>
    <definedName name="Taper1">Values!$B$359</definedName>
    <definedName name="Taper2">Values!$D$359</definedName>
    <definedName name="Terrain">Input!$I$30</definedName>
    <definedName name="ThirdDetourName">Values!$C$365</definedName>
    <definedName name="ThirdDetourOption">Input!$D$164</definedName>
    <definedName name="TimeEnd1">Values!$H$85</definedName>
    <definedName name="TimeEnd2">Values!$K$85</definedName>
    <definedName name="TimeEX1">Delay!$G$14</definedName>
    <definedName name="TimeEX2">Delay!$J$14</definedName>
    <definedName name="TimeStart1">Values!$H$84</definedName>
    <definedName name="TimeStart2">Values!$K$84</definedName>
    <definedName name="TimeWZ1">Delay!$G$18</definedName>
    <definedName name="TimeWZ2">Delay!$J$18</definedName>
    <definedName name="TrafficPatternGroup">Values!$F$20</definedName>
    <definedName name="TravelCostCT">Values!$M$236</definedName>
    <definedName name="TravelCostPC">Values!$M$228</definedName>
    <definedName name="TravelCostPCb">Values!$M$224</definedName>
    <definedName name="TravelCostPCp">Values!$M$219</definedName>
    <definedName name="TravelCostSU">Values!$M$232</definedName>
    <definedName name="TRDentry1">Values!$H$42</definedName>
    <definedName name="TRDentry2">Values!$K$42</definedName>
    <definedName name="TRDFactor1">Values!$H$43</definedName>
    <definedName name="TRDFactor2">Values!$K$43</definedName>
    <definedName name="VOCct">Values!$O$298</definedName>
    <definedName name="VOCpc">Values!$O$296</definedName>
    <definedName name="VOCrv">Values!$O$299</definedName>
    <definedName name="VOCsu">Values!$O$297</definedName>
    <definedName name="WidthEX1">Values!$H$32</definedName>
    <definedName name="WidthEX2">Values!$K$32</definedName>
    <definedName name="WidthWZ1">Values!$H$76</definedName>
    <definedName name="WidthWZ2">Values!$K$76</definedName>
    <definedName name="wzBFFS1">Values!$H$72</definedName>
    <definedName name="wzBFFS2">Values!$K$72</definedName>
    <definedName name="WZCap1">Delay!$G$10</definedName>
    <definedName name="WZCap2">Delay!$J$10</definedName>
    <definedName name="WZCapBase1">Values!$H$90</definedName>
    <definedName name="WZCapBase2">Values!$K$90</definedName>
    <definedName name="wzFFS1">Values!$H$88</definedName>
    <definedName name="wzFFS2">Values!$K$88</definedName>
    <definedName name="WZPCE1">Values!$H$91</definedName>
    <definedName name="WZPCE2">Values!$K$91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1" i="13" l="1"/>
  <c r="H91" i="13"/>
  <c r="AG9" i="3" l="1"/>
  <c r="I110" i="12" l="1"/>
  <c r="H65" i="5" l="1"/>
  <c r="F65" i="5"/>
  <c r="H60" i="5"/>
  <c r="H59" i="5"/>
  <c r="H58" i="5"/>
  <c r="F60" i="5"/>
  <c r="F59" i="5"/>
  <c r="F58" i="5"/>
  <c r="K72" i="13" l="1"/>
  <c r="H72" i="13"/>
  <c r="E55" i="5" s="1"/>
  <c r="AD59" i="3"/>
  <c r="K82" i="13"/>
  <c r="G60" i="5" s="1"/>
  <c r="H82" i="13"/>
  <c r="E60" i="5" s="1"/>
  <c r="N68" i="13"/>
  <c r="N67" i="13"/>
  <c r="G55" i="5" l="1"/>
  <c r="AA64" i="3"/>
  <c r="X64" i="3"/>
  <c r="E21" i="5"/>
  <c r="X12" i="3"/>
  <c r="F7" i="13" s="1"/>
  <c r="X11" i="3"/>
  <c r="E11" i="20" s="1"/>
  <c r="E20" i="5" l="1"/>
  <c r="E19" i="5"/>
  <c r="E12" i="20"/>
  <c r="F6" i="13"/>
  <c r="AD34" i="3"/>
  <c r="H27" i="13" l="1"/>
  <c r="K27" i="13" l="1"/>
  <c r="F36" i="5"/>
  <c r="H36" i="5"/>
  <c r="C36" i="5"/>
  <c r="N105" i="12" l="1"/>
  <c r="AH198" i="8" l="1"/>
  <c r="AF198" i="8"/>
  <c r="AD198" i="8"/>
  <c r="AB198" i="8"/>
  <c r="Z198" i="8"/>
  <c r="X198" i="8"/>
  <c r="V198" i="8"/>
  <c r="AK163" i="8"/>
  <c r="AB150" i="8"/>
  <c r="N161" i="8"/>
  <c r="Y127" i="8"/>
  <c r="K41" i="20" l="1"/>
  <c r="J17" i="5"/>
  <c r="I85" i="13" l="1"/>
  <c r="I84" i="13"/>
  <c r="J84" i="13" l="1"/>
  <c r="J85" i="13"/>
  <c r="C365" i="13"/>
  <c r="C364" i="13"/>
  <c r="C363" i="13"/>
  <c r="AD48" i="3"/>
  <c r="AH48" i="3" s="1"/>
  <c r="H85" i="13" l="1"/>
  <c r="H84" i="13"/>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AD17" i="3"/>
  <c r="AH88" i="3"/>
  <c r="D9" i="17" l="1"/>
  <c r="D10" i="17" s="1"/>
  <c r="D11" i="17" s="1"/>
  <c r="D12" i="17" s="1"/>
  <c r="D13" i="17" s="1"/>
  <c r="D14" i="17" s="1"/>
  <c r="D15" i="17" s="1"/>
  <c r="D16" i="17" s="1"/>
  <c r="D17" i="17" s="1"/>
  <c r="D18" i="17" s="1"/>
  <c r="D19" i="17" s="1"/>
  <c r="D20" i="17" s="1"/>
  <c r="D21" i="17" s="1"/>
  <c r="D22" i="17" s="1"/>
  <c r="D23" i="17" s="1"/>
  <c r="D24" i="17" s="1"/>
  <c r="D25" i="17" s="1"/>
  <c r="D26" i="17" s="1"/>
  <c r="D27" i="17" s="1"/>
  <c r="D28" i="17" s="1"/>
  <c r="D29" i="17" s="1"/>
  <c r="D30" i="17" s="1"/>
  <c r="D31" i="17" s="1"/>
  <c r="B274" i="5"/>
  <c r="B248" i="5"/>
  <c r="B222" i="5"/>
  <c r="AD164" i="3" l="1"/>
  <c r="AH164" i="3" s="1"/>
  <c r="AD129" i="3"/>
  <c r="AH129" i="3" s="1"/>
  <c r="AD94" i="3"/>
  <c r="AH94" i="3" s="1"/>
  <c r="C88" i="5" l="1"/>
  <c r="C87" i="5"/>
  <c r="C86" i="5"/>
  <c r="P34" i="20" l="1"/>
  <c r="O34" i="20"/>
  <c r="J30" i="20"/>
  <c r="G30" i="20"/>
  <c r="O319" i="13" l="1"/>
  <c r="O318" i="13"/>
  <c r="O317" i="13"/>
  <c r="O316" i="13"/>
  <c r="O315" i="13"/>
  <c r="O314" i="13"/>
  <c r="O313" i="13"/>
  <c r="O312" i="13"/>
  <c r="O311" i="13"/>
  <c r="O310" i="13"/>
  <c r="O308" i="13"/>
  <c r="O309" i="13"/>
  <c r="F17" i="13" l="1"/>
  <c r="F19" i="13" s="1"/>
  <c r="E17" i="20"/>
  <c r="E25" i="5"/>
  <c r="E24" i="5"/>
  <c r="E23" i="5"/>
  <c r="F12" i="13"/>
  <c r="X17" i="3"/>
  <c r="AH17" i="3"/>
  <c r="T53" i="3" l="1"/>
  <c r="I10" i="4"/>
  <c r="T52" i="3"/>
  <c r="T29" i="3"/>
  <c r="F22" i="13" s="1"/>
  <c r="F20" i="13"/>
  <c r="F21" i="13"/>
  <c r="T38" i="3" s="1"/>
  <c r="AD35" i="3" l="1"/>
  <c r="T41" i="3"/>
  <c r="T37" i="3"/>
  <c r="T51" i="3"/>
  <c r="T30" i="3"/>
  <c r="T35" i="3"/>
  <c r="T48" i="3"/>
  <c r="T36" i="3"/>
  <c r="H74" i="13"/>
  <c r="AH59" i="3"/>
  <c r="AD58" i="3"/>
  <c r="AH58" i="3" s="1"/>
  <c r="AD47" i="3"/>
  <c r="AH47" i="3" s="1"/>
  <c r="AH34" i="3"/>
  <c r="AD28" i="3"/>
  <c r="AH28" i="3" s="1"/>
  <c r="AD16" i="3"/>
  <c r="AH16" i="3" s="1"/>
  <c r="AD15" i="3"/>
  <c r="AH15" i="3" s="1"/>
  <c r="AD14" i="3"/>
  <c r="AH14" i="3" s="1"/>
  <c r="AD13" i="3"/>
  <c r="AH13" i="3" s="1"/>
  <c r="K74" i="13" l="1"/>
  <c r="E13" i="20"/>
  <c r="E15" i="20"/>
  <c r="E14" i="20"/>
  <c r="E16" i="20"/>
  <c r="E19" i="20"/>
  <c r="E26" i="20" l="1"/>
  <c r="M235" i="13"/>
  <c r="M231" i="13"/>
  <c r="M223" i="13"/>
  <c r="M218" i="13"/>
  <c r="T22" i="3"/>
  <c r="T21" i="3"/>
  <c r="T23" i="3"/>
  <c r="J120" i="5" l="1"/>
  <c r="J119" i="5"/>
  <c r="J118" i="5"/>
  <c r="J117" i="5"/>
  <c r="H93" i="5"/>
  <c r="F93" i="5"/>
  <c r="J124" i="5"/>
  <c r="J123" i="5"/>
  <c r="J104" i="5" s="1"/>
  <c r="J122" i="5"/>
  <c r="F111" i="5" s="1"/>
  <c r="J121" i="5"/>
  <c r="J113" i="5" s="1"/>
  <c r="H45" i="5"/>
  <c r="H44" i="5"/>
  <c r="F45" i="5"/>
  <c r="F44" i="5"/>
  <c r="J45" i="5"/>
  <c r="F37" i="5"/>
  <c r="H37" i="5"/>
  <c r="J29" i="5"/>
  <c r="H66" i="5"/>
  <c r="F66" i="5"/>
  <c r="H64" i="5"/>
  <c r="F64" i="5"/>
  <c r="H57" i="5"/>
  <c r="F57" i="5"/>
  <c r="H62" i="5"/>
  <c r="H61" i="5"/>
  <c r="F62" i="5"/>
  <c r="F61" i="5"/>
  <c r="H56" i="5"/>
  <c r="F56" i="5"/>
  <c r="H53" i="5"/>
  <c r="F53" i="5"/>
  <c r="H49" i="5"/>
  <c r="H52" i="5" s="1"/>
  <c r="H48" i="5"/>
  <c r="H51" i="5" s="1"/>
  <c r="F49" i="5"/>
  <c r="F52" i="5" s="1"/>
  <c r="F48" i="5"/>
  <c r="F51" i="5" s="1"/>
  <c r="H47" i="5"/>
  <c r="F47" i="5"/>
  <c r="H46" i="5"/>
  <c r="F46" i="5"/>
  <c r="H43" i="5"/>
  <c r="H42" i="5"/>
  <c r="F43" i="5"/>
  <c r="F42" i="5"/>
  <c r="J41" i="5"/>
  <c r="H40" i="5"/>
  <c r="H39" i="5"/>
  <c r="F40" i="5"/>
  <c r="F39" i="5"/>
  <c r="H38" i="5"/>
  <c r="F38" i="5"/>
  <c r="J34" i="5"/>
  <c r="J31" i="5"/>
  <c r="J28" i="5"/>
  <c r="J27" i="5"/>
  <c r="E33" i="5"/>
  <c r="J33" i="5" s="1"/>
  <c r="E32" i="5"/>
  <c r="E22" i="5"/>
  <c r="E30" i="5"/>
  <c r="B79" i="5"/>
  <c r="B73" i="5"/>
  <c r="B67" i="5"/>
  <c r="G18" i="5"/>
  <c r="E18" i="5"/>
  <c r="C130" i="5"/>
  <c r="C129" i="5"/>
  <c r="C128" i="5"/>
  <c r="C96" i="5"/>
  <c r="C95" i="5"/>
  <c r="C94" i="5"/>
  <c r="C84" i="5"/>
  <c r="C83" i="5"/>
  <c r="C82" i="5"/>
  <c r="C81" i="5"/>
  <c r="C80" i="5"/>
  <c r="C79" i="5"/>
  <c r="C78" i="5"/>
  <c r="C77" i="5"/>
  <c r="C76" i="5"/>
  <c r="C75" i="5"/>
  <c r="C74" i="5"/>
  <c r="C73" i="5"/>
  <c r="C68" i="5"/>
  <c r="C67" i="5"/>
  <c r="C72" i="5"/>
  <c r="C71" i="5"/>
  <c r="C70" i="5"/>
  <c r="C69" i="5"/>
  <c r="O34" i="4"/>
  <c r="F36" i="4" s="1"/>
  <c r="L34" i="4"/>
  <c r="F35" i="4" s="1"/>
  <c r="O9" i="4"/>
  <c r="L9" i="4"/>
  <c r="D330" i="13"/>
  <c r="C330" i="13"/>
  <c r="H139" i="5" l="1"/>
  <c r="H137" i="5"/>
  <c r="H131" i="5"/>
  <c r="H136" i="5"/>
  <c r="H153" i="5"/>
  <c r="H152" i="5"/>
  <c r="H144" i="5"/>
  <c r="H147" i="5"/>
  <c r="H145" i="5"/>
  <c r="H151" i="5"/>
  <c r="H143" i="5"/>
  <c r="H135" i="5"/>
  <c r="H150" i="5"/>
  <c r="H142" i="5"/>
  <c r="H134" i="5"/>
  <c r="H149" i="5"/>
  <c r="H141" i="5"/>
  <c r="H133" i="5"/>
  <c r="H148" i="5"/>
  <c r="H140" i="5"/>
  <c r="H132" i="5"/>
  <c r="H154" i="5"/>
  <c r="H146" i="5"/>
  <c r="H138" i="5"/>
  <c r="F145" i="5"/>
  <c r="F141" i="5"/>
  <c r="F152" i="5"/>
  <c r="F144" i="5"/>
  <c r="F136" i="5"/>
  <c r="F151" i="5"/>
  <c r="F143" i="5"/>
  <c r="F135" i="5"/>
  <c r="F150" i="5"/>
  <c r="F142" i="5"/>
  <c r="F149" i="5"/>
  <c r="F133" i="5"/>
  <c r="F148" i="5"/>
  <c r="F140" i="5"/>
  <c r="F132" i="5"/>
  <c r="F131" i="5"/>
  <c r="F147" i="5"/>
  <c r="F139" i="5"/>
  <c r="F154" i="5"/>
  <c r="F146" i="5"/>
  <c r="F138" i="5"/>
  <c r="F153" i="5"/>
  <c r="F137" i="5"/>
  <c r="F134" i="5"/>
  <c r="H112" i="5"/>
  <c r="J105" i="5"/>
  <c r="F112" i="5"/>
  <c r="J116" i="5"/>
  <c r="J115" i="5"/>
  <c r="J106" i="5"/>
  <c r="H109" i="5"/>
  <c r="F110" i="5"/>
  <c r="J107" i="5"/>
  <c r="H111" i="5"/>
  <c r="J108" i="5"/>
  <c r="H110" i="5"/>
  <c r="F109" i="5"/>
  <c r="J114" i="5"/>
  <c r="J101" i="5"/>
  <c r="F291" i="13"/>
  <c r="F290" i="13"/>
  <c r="AH197" i="8"/>
  <c r="AF197" i="8"/>
  <c r="AD197" i="8"/>
  <c r="AB197" i="8"/>
  <c r="Z197" i="8"/>
  <c r="X197" i="8"/>
  <c r="V197" i="8"/>
  <c r="AH196" i="8"/>
  <c r="AF196" i="8"/>
  <c r="AD196" i="8"/>
  <c r="AB196" i="8"/>
  <c r="Z196" i="8"/>
  <c r="X196" i="8"/>
  <c r="V196" i="8"/>
  <c r="AH195" i="8"/>
  <c r="AF195" i="8"/>
  <c r="AD195" i="8"/>
  <c r="AB195" i="8"/>
  <c r="Z195" i="8"/>
  <c r="X195" i="8"/>
  <c r="V195" i="8"/>
  <c r="AH194" i="8"/>
  <c r="AF194" i="8"/>
  <c r="AD194" i="8"/>
  <c r="AB194" i="8"/>
  <c r="Z194" i="8"/>
  <c r="X194" i="8"/>
  <c r="V194" i="8"/>
  <c r="AH193" i="8"/>
  <c r="AF193" i="8"/>
  <c r="AD193" i="8"/>
  <c r="AB193" i="8"/>
  <c r="Z193" i="8"/>
  <c r="X193" i="8"/>
  <c r="V193" i="8"/>
  <c r="AH192" i="8"/>
  <c r="AF192" i="8"/>
  <c r="AD192" i="8"/>
  <c r="AB192" i="8"/>
  <c r="Z192" i="8"/>
  <c r="X192" i="8"/>
  <c r="V192" i="8"/>
  <c r="AH191" i="8"/>
  <c r="AF191" i="8"/>
  <c r="AD191" i="8"/>
  <c r="AB191" i="8"/>
  <c r="Z191" i="8"/>
  <c r="X191" i="8"/>
  <c r="V191" i="8"/>
  <c r="AH190" i="8"/>
  <c r="AF190" i="8"/>
  <c r="AD190" i="8"/>
  <c r="AB190" i="8"/>
  <c r="Z190" i="8"/>
  <c r="X190" i="8"/>
  <c r="V190" i="8"/>
  <c r="AH189" i="8"/>
  <c r="AF189" i="8"/>
  <c r="AD189" i="8"/>
  <c r="AB189" i="8"/>
  <c r="Z189" i="8"/>
  <c r="X189" i="8"/>
  <c r="V189" i="8"/>
  <c r="AH188" i="8"/>
  <c r="AF188" i="8"/>
  <c r="AD188" i="8"/>
  <c r="AB188" i="8"/>
  <c r="Z188" i="8"/>
  <c r="X188" i="8"/>
  <c r="V188" i="8"/>
  <c r="AH187" i="8"/>
  <c r="AF187" i="8"/>
  <c r="AD187" i="8"/>
  <c r="AB187" i="8"/>
  <c r="Z187" i="8"/>
  <c r="X187" i="8"/>
  <c r="V187" i="8"/>
  <c r="AH186" i="8"/>
  <c r="AF186" i="8"/>
  <c r="AD186" i="8"/>
  <c r="AB186" i="8"/>
  <c r="Z186" i="8"/>
  <c r="X186" i="8"/>
  <c r="V186" i="8"/>
  <c r="AH185" i="8"/>
  <c r="AF185" i="8"/>
  <c r="AD185" i="8"/>
  <c r="AB185" i="8"/>
  <c r="Z185" i="8"/>
  <c r="X185" i="8"/>
  <c r="V185" i="8"/>
  <c r="AH184" i="8"/>
  <c r="AF184" i="8"/>
  <c r="AD184" i="8"/>
  <c r="AB184" i="8"/>
  <c r="Z184" i="8"/>
  <c r="X184" i="8"/>
  <c r="V184" i="8"/>
  <c r="AH183" i="8"/>
  <c r="AF183" i="8"/>
  <c r="AD183" i="8"/>
  <c r="AB183" i="8"/>
  <c r="Z183" i="8"/>
  <c r="X183" i="8"/>
  <c r="V183" i="8"/>
  <c r="AH182" i="8"/>
  <c r="AF182" i="8"/>
  <c r="AD182" i="8"/>
  <c r="AB182" i="8"/>
  <c r="Z182" i="8"/>
  <c r="X182" i="8"/>
  <c r="V182" i="8"/>
  <c r="AH181" i="8"/>
  <c r="AF181" i="8"/>
  <c r="AD181" i="8"/>
  <c r="AB181" i="8"/>
  <c r="Z181" i="8"/>
  <c r="X181" i="8"/>
  <c r="V181" i="8"/>
  <c r="AH180" i="8"/>
  <c r="AF180" i="8"/>
  <c r="AD180" i="8"/>
  <c r="AB180" i="8"/>
  <c r="Z180" i="8"/>
  <c r="X180" i="8"/>
  <c r="V180" i="8"/>
  <c r="AH179" i="8"/>
  <c r="AF179" i="8"/>
  <c r="AD179" i="8"/>
  <c r="AB179" i="8"/>
  <c r="Z179" i="8"/>
  <c r="X179" i="8"/>
  <c r="V179" i="8"/>
  <c r="AH178" i="8"/>
  <c r="AF178" i="8"/>
  <c r="AD178" i="8"/>
  <c r="AB178" i="8"/>
  <c r="Z178" i="8"/>
  <c r="X178" i="8"/>
  <c r="V178" i="8"/>
  <c r="AH177" i="8"/>
  <c r="AF177" i="8"/>
  <c r="AD177" i="8"/>
  <c r="AB177" i="8"/>
  <c r="Z177" i="8"/>
  <c r="X177" i="8"/>
  <c r="V177" i="8"/>
  <c r="AH176" i="8"/>
  <c r="AF176" i="8"/>
  <c r="AD176" i="8"/>
  <c r="AB176" i="8"/>
  <c r="Z176" i="8"/>
  <c r="X176" i="8"/>
  <c r="V176" i="8"/>
  <c r="AH175" i="8"/>
  <c r="AF175" i="8"/>
  <c r="AD175" i="8"/>
  <c r="AB175" i="8"/>
  <c r="Z175" i="8"/>
  <c r="X175" i="8"/>
  <c r="V175" i="8"/>
  <c r="AH174" i="8"/>
  <c r="AF174" i="8"/>
  <c r="AD174" i="8"/>
  <c r="AB174" i="8"/>
  <c r="Z174" i="8"/>
  <c r="X174" i="8"/>
  <c r="V174" i="8"/>
  <c r="AH173" i="8"/>
  <c r="AF173" i="8"/>
  <c r="AD173" i="8"/>
  <c r="AB173" i="8"/>
  <c r="Z173" i="8"/>
  <c r="X173" i="8"/>
  <c r="V173" i="8"/>
  <c r="AH172" i="8"/>
  <c r="AF172" i="8"/>
  <c r="AD172" i="8"/>
  <c r="AB172" i="8"/>
  <c r="Z172" i="8"/>
  <c r="X172" i="8"/>
  <c r="V172" i="8"/>
  <c r="AH171" i="8"/>
  <c r="AF171" i="8"/>
  <c r="AD171" i="8"/>
  <c r="AB171" i="8"/>
  <c r="Z171" i="8"/>
  <c r="X171" i="8"/>
  <c r="V171" i="8"/>
  <c r="M171" i="8"/>
  <c r="G291" i="13"/>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AA129" i="8"/>
  <c r="F281" i="13" s="1"/>
  <c r="Y129" i="8"/>
  <c r="I74" i="12"/>
  <c r="G281" i="13"/>
  <c r="G280" i="13"/>
  <c r="H291" i="13" l="1"/>
  <c r="AC129" i="8"/>
  <c r="F280" i="13"/>
  <c r="P140" i="8"/>
  <c r="P137" i="8"/>
  <c r="E35" i="5" l="1"/>
  <c r="G35" i="5"/>
  <c r="N27" i="13"/>
  <c r="Y130" i="8"/>
  <c r="F283" i="13" s="1"/>
  <c r="I35" i="5" l="1"/>
  <c r="F15" i="13"/>
  <c r="E28" i="5" s="1"/>
  <c r="N92" i="13"/>
  <c r="I37" i="11" l="1"/>
  <c r="H37" i="11"/>
  <c r="G37" i="11"/>
  <c r="O37" i="11"/>
  <c r="N37" i="11"/>
  <c r="M37" i="11"/>
  <c r="L37" i="11"/>
  <c r="J37" i="11"/>
  <c r="E28" i="20"/>
  <c r="J67" i="9"/>
  <c r="M8" i="11" s="1"/>
  <c r="J66" i="9"/>
  <c r="L8" i="11" s="1"/>
  <c r="G68" i="9"/>
  <c r="I8" i="11" s="1"/>
  <c r="G67" i="9"/>
  <c r="H8" i="11" s="1"/>
  <c r="G66" i="9"/>
  <c r="G8" i="11" s="1"/>
  <c r="J69" i="9"/>
  <c r="O8" i="11" s="1"/>
  <c r="J68" i="9"/>
  <c r="N8" i="11" s="1"/>
  <c r="G69" i="9"/>
  <c r="J8" i="11" s="1"/>
  <c r="G93" i="5"/>
  <c r="E93" i="5"/>
  <c r="F278" i="13"/>
  <c r="G302" i="13"/>
  <c r="G301" i="13"/>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71" i="8"/>
  <c r="H280" i="13" l="1"/>
  <c r="H281" i="13"/>
  <c r="H301" i="13"/>
  <c r="H302" i="13"/>
  <c r="G294" i="13"/>
  <c r="H294" i="13" s="1"/>
  <c r="G293" i="13"/>
  <c r="H293" i="13" s="1"/>
  <c r="G292" i="13"/>
  <c r="H292" i="13" s="1"/>
  <c r="G290" i="13"/>
  <c r="H290" i="13" s="1"/>
  <c r="G278" i="13"/>
  <c r="H278" i="13" s="1"/>
  <c r="E120" i="5"/>
  <c r="E119" i="5"/>
  <c r="E118" i="5"/>
  <c r="E117" i="5"/>
  <c r="F13" i="13"/>
  <c r="F14" i="13"/>
  <c r="X16" i="3"/>
  <c r="X15" i="3"/>
  <c r="X14" i="3"/>
  <c r="X13" i="3"/>
  <c r="X30" i="3"/>
  <c r="X28" i="3"/>
  <c r="E27" i="5" l="1"/>
  <c r="AD22" i="3"/>
  <c r="AH22" i="3" s="1"/>
  <c r="I291" i="13"/>
  <c r="J291" i="13" s="1"/>
  <c r="K291" i="13" s="1"/>
  <c r="E26" i="5"/>
  <c r="I281" i="13"/>
  <c r="J281" i="13" s="1"/>
  <c r="K281" i="13" s="1"/>
  <c r="I280" i="13"/>
  <c r="J280" i="13" s="1"/>
  <c r="K280" i="13" s="1"/>
  <c r="F16" i="13"/>
  <c r="I287" i="13"/>
  <c r="J287" i="13" s="1"/>
  <c r="X22" i="3"/>
  <c r="I297" i="13"/>
  <c r="J297" i="13" s="1"/>
  <c r="I298" i="13"/>
  <c r="J298" i="13" s="1"/>
  <c r="I299" i="13"/>
  <c r="J299" i="13" s="1"/>
  <c r="I286" i="13"/>
  <c r="J286" i="13" s="1"/>
  <c r="X21" i="3"/>
  <c r="I301" i="13"/>
  <c r="J301" i="13" s="1"/>
  <c r="I275" i="13"/>
  <c r="J275" i="13" s="1"/>
  <c r="I302" i="13"/>
  <c r="J302" i="13" s="1"/>
  <c r="I290" i="13"/>
  <c r="J290" i="13" s="1"/>
  <c r="I278" i="13"/>
  <c r="J278" i="13" s="1"/>
  <c r="I292" i="13"/>
  <c r="J292" i="13" s="1"/>
  <c r="I283" i="13"/>
  <c r="J283" i="13" s="1"/>
  <c r="I293" i="13"/>
  <c r="J293" i="13" s="1"/>
  <c r="I284" i="13"/>
  <c r="J284" i="13" s="1"/>
  <c r="I294" i="13"/>
  <c r="J294" i="13" s="1"/>
  <c r="I296" i="13"/>
  <c r="J296" i="13" s="1"/>
  <c r="X23" i="3"/>
  <c r="AK165" i="8"/>
  <c r="F302" i="13" s="1"/>
  <c r="AH165" i="8"/>
  <c r="F301" i="13" s="1"/>
  <c r="AH157" i="8"/>
  <c r="AH156" i="8"/>
  <c r="AH155" i="8"/>
  <c r="AH154" i="8"/>
  <c r="AF157" i="8"/>
  <c r="AF156" i="8"/>
  <c r="AF155" i="8"/>
  <c r="AF154" i="8"/>
  <c r="AD157" i="8"/>
  <c r="AD156" i="8"/>
  <c r="AD155" i="8"/>
  <c r="AD154" i="8"/>
  <c r="AB157" i="8"/>
  <c r="AB156" i="8"/>
  <c r="AB155" i="8"/>
  <c r="AB154" i="8"/>
  <c r="AH153" i="8"/>
  <c r="AF153" i="8"/>
  <c r="AD153" i="8"/>
  <c r="AB153" i="8"/>
  <c r="G296" i="13"/>
  <c r="H296" i="13" s="1"/>
  <c r="T164" i="8"/>
  <c r="R164" i="8"/>
  <c r="P164" i="8"/>
  <c r="N164" i="8"/>
  <c r="R128" i="8"/>
  <c r="G275" i="13" s="1"/>
  <c r="H275" i="13" s="1"/>
  <c r="E138" i="8"/>
  <c r="AA131" i="8"/>
  <c r="F287" i="13" s="1"/>
  <c r="AA130" i="8"/>
  <c r="F284" i="13" s="1"/>
  <c r="Y131" i="8"/>
  <c r="F286" i="13" s="1"/>
  <c r="R129" i="8"/>
  <c r="F275" i="13" s="1"/>
  <c r="V100" i="8"/>
  <c r="X100" i="8"/>
  <c r="Z100" i="8"/>
  <c r="AB100" i="8"/>
  <c r="AD100" i="8"/>
  <c r="AF100" i="8"/>
  <c r="AH100" i="8"/>
  <c r="AJ100" i="8"/>
  <c r="AL100" i="8"/>
  <c r="V101" i="8"/>
  <c r="X101" i="8"/>
  <c r="Z101" i="8"/>
  <c r="AB101" i="8"/>
  <c r="AD101" i="8"/>
  <c r="AF101" i="8"/>
  <c r="AH101" i="8"/>
  <c r="AJ101" i="8"/>
  <c r="AL101" i="8"/>
  <c r="V102" i="8"/>
  <c r="X102" i="8"/>
  <c r="Z102" i="8"/>
  <c r="AB102" i="8"/>
  <c r="AD102" i="8"/>
  <c r="AF102" i="8"/>
  <c r="AH102" i="8"/>
  <c r="AJ102" i="8"/>
  <c r="AL102" i="8"/>
  <c r="V103" i="8"/>
  <c r="X103" i="8"/>
  <c r="Z103" i="8"/>
  <c r="AB103" i="8"/>
  <c r="AD103" i="8"/>
  <c r="AF103" i="8"/>
  <c r="AH103" i="8"/>
  <c r="AJ103" i="8"/>
  <c r="AL103" i="8"/>
  <c r="V104" i="8"/>
  <c r="X104" i="8"/>
  <c r="Z104" i="8"/>
  <c r="AB104" i="8"/>
  <c r="AD104" i="8"/>
  <c r="AF104" i="8"/>
  <c r="AH104" i="8"/>
  <c r="AJ104" i="8"/>
  <c r="AL104" i="8"/>
  <c r="V105" i="8"/>
  <c r="X105" i="8"/>
  <c r="Z105" i="8"/>
  <c r="AB105" i="8"/>
  <c r="AD105" i="8"/>
  <c r="AF105" i="8"/>
  <c r="AH105" i="8"/>
  <c r="AJ105" i="8"/>
  <c r="AL105" i="8"/>
  <c r="V106" i="8"/>
  <c r="X106" i="8"/>
  <c r="Z106" i="8"/>
  <c r="AB106" i="8"/>
  <c r="AD106" i="8"/>
  <c r="AF106" i="8"/>
  <c r="AH106" i="8"/>
  <c r="AJ106" i="8"/>
  <c r="AL106" i="8"/>
  <c r="V107" i="8"/>
  <c r="X107" i="8"/>
  <c r="Z107" i="8"/>
  <c r="AB107" i="8"/>
  <c r="AD107" i="8"/>
  <c r="AF107" i="8"/>
  <c r="AH107" i="8"/>
  <c r="AJ107" i="8"/>
  <c r="AL107" i="8"/>
  <c r="V108" i="8"/>
  <c r="X108" i="8"/>
  <c r="Z108" i="8"/>
  <c r="AB108" i="8"/>
  <c r="AD108" i="8"/>
  <c r="AF108" i="8"/>
  <c r="AH108" i="8"/>
  <c r="AJ108" i="8"/>
  <c r="AL108" i="8"/>
  <c r="V109" i="8"/>
  <c r="X109" i="8"/>
  <c r="Z109" i="8"/>
  <c r="AB109" i="8"/>
  <c r="AD109" i="8"/>
  <c r="AF109" i="8"/>
  <c r="AH109" i="8"/>
  <c r="AJ109" i="8"/>
  <c r="AL109" i="8"/>
  <c r="V110" i="8"/>
  <c r="X110" i="8"/>
  <c r="Z110" i="8"/>
  <c r="AB110" i="8"/>
  <c r="AD110" i="8"/>
  <c r="AF110" i="8"/>
  <c r="AH110" i="8"/>
  <c r="AJ110" i="8"/>
  <c r="AL110" i="8"/>
  <c r="V111" i="8"/>
  <c r="X111" i="8"/>
  <c r="Z111" i="8"/>
  <c r="AB111" i="8"/>
  <c r="AD111" i="8"/>
  <c r="AF111" i="8"/>
  <c r="AH111" i="8"/>
  <c r="AJ111" i="8"/>
  <c r="AL111" i="8"/>
  <c r="T101" i="8"/>
  <c r="T102" i="8"/>
  <c r="T103" i="8"/>
  <c r="T104" i="8"/>
  <c r="T105" i="8"/>
  <c r="T106" i="8"/>
  <c r="T107" i="8"/>
  <c r="T108" i="8"/>
  <c r="T109" i="8"/>
  <c r="T110" i="8"/>
  <c r="T111" i="8"/>
  <c r="T100" i="8"/>
  <c r="E99" i="8"/>
  <c r="F99" i="8"/>
  <c r="G99" i="8"/>
  <c r="H99" i="8"/>
  <c r="I99" i="8"/>
  <c r="J99" i="8"/>
  <c r="K99" i="8"/>
  <c r="L99" i="8"/>
  <c r="M99" i="8"/>
  <c r="E100" i="8"/>
  <c r="F100" i="8"/>
  <c r="G100" i="8"/>
  <c r="H100" i="8"/>
  <c r="I100" i="8"/>
  <c r="J100" i="8"/>
  <c r="K100" i="8"/>
  <c r="L100" i="8"/>
  <c r="M100" i="8"/>
  <c r="E101" i="8"/>
  <c r="F101" i="8"/>
  <c r="G101" i="8"/>
  <c r="H101" i="8"/>
  <c r="I101" i="8"/>
  <c r="J101" i="8"/>
  <c r="K101" i="8"/>
  <c r="L101" i="8"/>
  <c r="M101" i="8"/>
  <c r="E102" i="8"/>
  <c r="F102" i="8"/>
  <c r="G102" i="8"/>
  <c r="H102" i="8"/>
  <c r="I102" i="8"/>
  <c r="J102" i="8"/>
  <c r="K102" i="8"/>
  <c r="L102" i="8"/>
  <c r="M102" i="8"/>
  <c r="E103" i="8"/>
  <c r="F103" i="8"/>
  <c r="G103" i="8"/>
  <c r="H103" i="8"/>
  <c r="I103" i="8"/>
  <c r="J103" i="8"/>
  <c r="K103" i="8"/>
  <c r="L103" i="8"/>
  <c r="M103" i="8"/>
  <c r="E104" i="8"/>
  <c r="F104" i="8"/>
  <c r="G104" i="8"/>
  <c r="H104" i="8"/>
  <c r="I104" i="8"/>
  <c r="J104" i="8"/>
  <c r="K104" i="8"/>
  <c r="L104" i="8"/>
  <c r="M104" i="8"/>
  <c r="E105" i="8"/>
  <c r="F105" i="8"/>
  <c r="G105" i="8"/>
  <c r="H105" i="8"/>
  <c r="I105" i="8"/>
  <c r="J105" i="8"/>
  <c r="K105" i="8"/>
  <c r="L105" i="8"/>
  <c r="M105" i="8"/>
  <c r="E106" i="8"/>
  <c r="F106" i="8"/>
  <c r="G106" i="8"/>
  <c r="H106" i="8"/>
  <c r="I106" i="8"/>
  <c r="J106" i="8"/>
  <c r="K106" i="8"/>
  <c r="L106" i="8"/>
  <c r="M106" i="8"/>
  <c r="E107" i="8"/>
  <c r="F107" i="8"/>
  <c r="G107" i="8"/>
  <c r="H107" i="8"/>
  <c r="I107" i="8"/>
  <c r="J107" i="8"/>
  <c r="K107" i="8"/>
  <c r="L107" i="8"/>
  <c r="M107" i="8"/>
  <c r="E108" i="8"/>
  <c r="F108" i="8"/>
  <c r="G108" i="8"/>
  <c r="H108" i="8"/>
  <c r="I108" i="8"/>
  <c r="J108" i="8"/>
  <c r="K108" i="8"/>
  <c r="L108" i="8"/>
  <c r="M108" i="8"/>
  <c r="E109" i="8"/>
  <c r="F109" i="8"/>
  <c r="G109" i="8"/>
  <c r="H109" i="8"/>
  <c r="I109" i="8"/>
  <c r="J109" i="8"/>
  <c r="K109" i="8"/>
  <c r="L109" i="8"/>
  <c r="M109" i="8"/>
  <c r="E110" i="8"/>
  <c r="F110" i="8"/>
  <c r="G110" i="8"/>
  <c r="H110" i="8"/>
  <c r="I110" i="8"/>
  <c r="J110" i="8"/>
  <c r="K110" i="8"/>
  <c r="L110" i="8"/>
  <c r="M110" i="8"/>
  <c r="E111" i="8"/>
  <c r="F111" i="8"/>
  <c r="G111" i="8"/>
  <c r="H111" i="8"/>
  <c r="I111" i="8"/>
  <c r="J111" i="8"/>
  <c r="K111" i="8"/>
  <c r="L111" i="8"/>
  <c r="M111" i="8"/>
  <c r="E112" i="8"/>
  <c r="F112" i="8"/>
  <c r="G112" i="8"/>
  <c r="H112" i="8"/>
  <c r="I112" i="8"/>
  <c r="J112" i="8"/>
  <c r="K112" i="8"/>
  <c r="L112" i="8"/>
  <c r="M112" i="8"/>
  <c r="E113" i="8"/>
  <c r="F113" i="8"/>
  <c r="G113" i="8"/>
  <c r="H113" i="8"/>
  <c r="I113" i="8"/>
  <c r="J113" i="8"/>
  <c r="K113" i="8"/>
  <c r="L113" i="8"/>
  <c r="M113" i="8"/>
  <c r="E114" i="8"/>
  <c r="F114" i="8"/>
  <c r="G114" i="8"/>
  <c r="H114" i="8"/>
  <c r="I114" i="8"/>
  <c r="J114" i="8"/>
  <c r="K114" i="8"/>
  <c r="L114" i="8"/>
  <c r="M114" i="8"/>
  <c r="E115" i="8"/>
  <c r="F115" i="8"/>
  <c r="G115" i="8"/>
  <c r="H115" i="8"/>
  <c r="I115" i="8"/>
  <c r="J115" i="8"/>
  <c r="K115" i="8"/>
  <c r="L115" i="8"/>
  <c r="M115" i="8"/>
  <c r="E116" i="8"/>
  <c r="F116" i="8"/>
  <c r="G116" i="8"/>
  <c r="H116" i="8"/>
  <c r="I116" i="8"/>
  <c r="J116" i="8"/>
  <c r="K116" i="8"/>
  <c r="L116" i="8"/>
  <c r="M116" i="8"/>
  <c r="E117" i="8"/>
  <c r="F117" i="8"/>
  <c r="G117" i="8"/>
  <c r="H117" i="8"/>
  <c r="I117" i="8"/>
  <c r="J117" i="8"/>
  <c r="K117" i="8"/>
  <c r="L117" i="8"/>
  <c r="M117" i="8"/>
  <c r="E118" i="8"/>
  <c r="F118" i="8"/>
  <c r="G118" i="8"/>
  <c r="H118" i="8"/>
  <c r="I118" i="8"/>
  <c r="J118" i="8"/>
  <c r="K118" i="8"/>
  <c r="L118" i="8"/>
  <c r="M118" i="8"/>
  <c r="E119" i="8"/>
  <c r="F119" i="8"/>
  <c r="G119" i="8"/>
  <c r="H119" i="8"/>
  <c r="I119" i="8"/>
  <c r="J119" i="8"/>
  <c r="K119" i="8"/>
  <c r="L119" i="8"/>
  <c r="M119" i="8"/>
  <c r="E120" i="8"/>
  <c r="F120" i="8"/>
  <c r="G120" i="8"/>
  <c r="H120" i="8"/>
  <c r="I120" i="8"/>
  <c r="J120" i="8"/>
  <c r="K120" i="8"/>
  <c r="L120" i="8"/>
  <c r="M120" i="8"/>
  <c r="E121" i="8"/>
  <c r="F121" i="8"/>
  <c r="G121" i="8"/>
  <c r="H121" i="8"/>
  <c r="I121" i="8"/>
  <c r="J121" i="8"/>
  <c r="K121" i="8"/>
  <c r="L121" i="8"/>
  <c r="M121" i="8"/>
  <c r="E122" i="8"/>
  <c r="F122" i="8"/>
  <c r="G122" i="8"/>
  <c r="H122" i="8"/>
  <c r="I122" i="8"/>
  <c r="J122" i="8"/>
  <c r="K122" i="8"/>
  <c r="L122" i="8"/>
  <c r="M122" i="8"/>
  <c r="D100" i="8"/>
  <c r="D101" i="8"/>
  <c r="D102" i="8"/>
  <c r="D103" i="8"/>
  <c r="D104" i="8"/>
  <c r="D105" i="8"/>
  <c r="D106" i="8"/>
  <c r="D107" i="8"/>
  <c r="D108" i="8"/>
  <c r="D109" i="8"/>
  <c r="D110" i="8"/>
  <c r="D111" i="8"/>
  <c r="D112" i="8"/>
  <c r="D113" i="8"/>
  <c r="D114" i="8"/>
  <c r="D115" i="8"/>
  <c r="D116" i="8"/>
  <c r="D117" i="8"/>
  <c r="D118" i="8"/>
  <c r="D119" i="8"/>
  <c r="D120" i="8"/>
  <c r="D121" i="8"/>
  <c r="D122" i="8"/>
  <c r="D99" i="8"/>
  <c r="E44" i="12"/>
  <c r="F44" i="12"/>
  <c r="G44" i="12"/>
  <c r="H44" i="12"/>
  <c r="I44" i="12"/>
  <c r="J44" i="12"/>
  <c r="K44" i="12"/>
  <c r="L44" i="12"/>
  <c r="M44" i="12"/>
  <c r="D44" i="12"/>
  <c r="G110" i="12"/>
  <c r="E110" i="12"/>
  <c r="N109" i="12"/>
  <c r="N108" i="12"/>
  <c r="N107" i="12"/>
  <c r="N106" i="12"/>
  <c r="D98" i="12"/>
  <c r="I76" i="12"/>
  <c r="I75" i="12"/>
  <c r="B21" i="12"/>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AH62" i="19"/>
  <c r="AC62" i="19"/>
  <c r="X62" i="19"/>
  <c r="AH6" i="19"/>
  <c r="AC6" i="19"/>
  <c r="X6" i="19"/>
  <c r="B40" i="10"/>
  <c r="B6" i="10"/>
  <c r="B6" i="19"/>
  <c r="B62" i="19"/>
  <c r="E29" i="5" l="1"/>
  <c r="L290" i="13"/>
  <c r="L292" i="13"/>
  <c r="L278" i="13"/>
  <c r="L283" i="13"/>
  <c r="L284" i="13"/>
  <c r="L275" i="13"/>
  <c r="L286" i="13"/>
  <c r="L287" i="13"/>
  <c r="L301" i="13"/>
  <c r="L291" i="13"/>
  <c r="L302" i="13"/>
  <c r="L293" i="13"/>
  <c r="L294" i="13"/>
  <c r="L296" i="13"/>
  <c r="L297" i="13"/>
  <c r="L298" i="13"/>
  <c r="L299" i="13"/>
  <c r="L280" i="13"/>
  <c r="M280" i="13" s="1"/>
  <c r="L281" i="13"/>
  <c r="M281" i="13" s="1"/>
  <c r="K275" i="13"/>
  <c r="F276" i="13"/>
  <c r="M276" i="13" s="1"/>
  <c r="G287" i="13"/>
  <c r="H287" i="13" s="1"/>
  <c r="K287" i="13" s="1"/>
  <c r="G286" i="13"/>
  <c r="H286" i="13" s="1"/>
  <c r="K286" i="13" s="1"/>
  <c r="G283" i="13"/>
  <c r="H283" i="13" s="1"/>
  <c r="K283" i="13" s="1"/>
  <c r="G284" i="13"/>
  <c r="H284" i="13" s="1"/>
  <c r="K284" i="13" s="1"/>
  <c r="G299" i="13"/>
  <c r="H299" i="13" s="1"/>
  <c r="G298" i="13"/>
  <c r="H298" i="13" s="1"/>
  <c r="G297" i="13"/>
  <c r="H297" i="13" s="1"/>
  <c r="X24" i="3"/>
  <c r="N110" i="12"/>
  <c r="E111" i="12" s="1"/>
  <c r="M264" i="13"/>
  <c r="L264" i="13"/>
  <c r="O276" i="13" l="1"/>
  <c r="E124" i="5" s="1"/>
  <c r="M275" i="13"/>
  <c r="O275" i="13" s="1"/>
  <c r="O282" i="13"/>
  <c r="M222" i="13" s="1"/>
  <c r="M283" i="13"/>
  <c r="M284" i="13"/>
  <c r="M286" i="13"/>
  <c r="M287" i="13"/>
  <c r="M247" i="13"/>
  <c r="M245" i="13"/>
  <c r="M241" i="13"/>
  <c r="M239" i="13"/>
  <c r="M227" i="13"/>
  <c r="M226" i="13"/>
  <c r="M221" i="13"/>
  <c r="O277" i="13" l="1"/>
  <c r="E90" i="12" s="1"/>
  <c r="O285" i="13"/>
  <c r="O288" i="13"/>
  <c r="E123" i="5"/>
  <c r="M217" i="13" l="1"/>
  <c r="M224" i="13"/>
  <c r="J64" i="9" l="1"/>
  <c r="G64" i="9"/>
  <c r="H208" i="13" l="1"/>
  <c r="B208" i="13"/>
  <c r="L205" i="13"/>
  <c r="M205" i="13" s="1"/>
  <c r="L204" i="13"/>
  <c r="L203" i="13"/>
  <c r="L202" i="13"/>
  <c r="L201" i="13"/>
  <c r="F205" i="13"/>
  <c r="G205" i="13" s="1"/>
  <c r="F204" i="13"/>
  <c r="F203" i="13"/>
  <c r="F202" i="13"/>
  <c r="F201" i="13"/>
  <c r="H200" i="13"/>
  <c r="B200" i="13"/>
  <c r="B78" i="9"/>
  <c r="B77" i="9"/>
  <c r="B76" i="9"/>
  <c r="B74" i="9"/>
  <c r="B73" i="9"/>
  <c r="B72" i="9"/>
  <c r="J70" i="9"/>
  <c r="G70" i="9"/>
  <c r="J52" i="9"/>
  <c r="G52" i="9"/>
  <c r="J41" i="9"/>
  <c r="G41" i="9"/>
  <c r="J5" i="9"/>
  <c r="G5" i="9"/>
  <c r="J15" i="9"/>
  <c r="G15" i="9"/>
  <c r="J11" i="9"/>
  <c r="G11" i="9"/>
  <c r="B35" i="17" l="1"/>
  <c r="CM35" i="17"/>
  <c r="CG35" i="17"/>
  <c r="CA35" i="17"/>
  <c r="BH35" i="17"/>
  <c r="BB35" i="17"/>
  <c r="AV35" i="17"/>
  <c r="AC35" i="17"/>
  <c r="W35" i="17"/>
  <c r="Q35" i="17"/>
  <c r="B332" i="13"/>
  <c r="B333" i="13" s="1"/>
  <c r="CM6" i="17"/>
  <c r="CG6" i="17"/>
  <c r="CA6" i="17"/>
  <c r="BH6" i="17"/>
  <c r="BB6" i="17"/>
  <c r="AV6" i="17"/>
  <c r="B6" i="17"/>
  <c r="AC6" i="17"/>
  <c r="W6" i="17"/>
  <c r="Q6" i="17"/>
  <c r="B197" i="13"/>
  <c r="B196" i="13"/>
  <c r="B195" i="13"/>
  <c r="B189" i="13"/>
  <c r="B188" i="13"/>
  <c r="B187" i="13"/>
  <c r="B334" i="13" l="1"/>
  <c r="J192" i="13"/>
  <c r="D192" i="13"/>
  <c r="J184" i="13"/>
  <c r="D184" i="13"/>
  <c r="B335" i="13" l="1"/>
  <c r="L181" i="13"/>
  <c r="J181" i="13"/>
  <c r="K181" i="13" s="1"/>
  <c r="I181" i="13"/>
  <c r="H181" i="13"/>
  <c r="G181" i="13"/>
  <c r="E181" i="13"/>
  <c r="F181" i="13" s="1"/>
  <c r="D181" i="13"/>
  <c r="L180" i="13"/>
  <c r="J180" i="13"/>
  <c r="K180" i="13" s="1"/>
  <c r="I180" i="13"/>
  <c r="H180" i="13"/>
  <c r="G180" i="13"/>
  <c r="E180" i="13"/>
  <c r="F180" i="13" s="1"/>
  <c r="D180" i="13"/>
  <c r="L179" i="13"/>
  <c r="J179" i="13"/>
  <c r="K179" i="13" s="1"/>
  <c r="I179" i="13"/>
  <c r="H179" i="13"/>
  <c r="G179" i="13"/>
  <c r="E179" i="13"/>
  <c r="F179" i="13" s="1"/>
  <c r="D179" i="13"/>
  <c r="L178" i="13"/>
  <c r="J178" i="13"/>
  <c r="K178" i="13" s="1"/>
  <c r="I178" i="13"/>
  <c r="H178" i="13"/>
  <c r="G178" i="13"/>
  <c r="E178" i="13"/>
  <c r="F178" i="13" s="1"/>
  <c r="D178" i="13"/>
  <c r="L177" i="13"/>
  <c r="J177" i="13"/>
  <c r="K177" i="13" s="1"/>
  <c r="I177" i="13"/>
  <c r="H177" i="13"/>
  <c r="G177" i="13"/>
  <c r="E177" i="13"/>
  <c r="F177" i="13" s="1"/>
  <c r="D177" i="13"/>
  <c r="L176" i="13"/>
  <c r="J176" i="13"/>
  <c r="K176" i="13" s="1"/>
  <c r="I176" i="13"/>
  <c r="H176" i="13"/>
  <c r="G176" i="13"/>
  <c r="E176" i="13"/>
  <c r="F176" i="13" s="1"/>
  <c r="D176" i="13"/>
  <c r="L175" i="13"/>
  <c r="J175" i="13"/>
  <c r="K175" i="13" s="1"/>
  <c r="I175" i="13"/>
  <c r="H175" i="13"/>
  <c r="G175" i="13"/>
  <c r="E175" i="13"/>
  <c r="F175" i="13" s="1"/>
  <c r="D175" i="13"/>
  <c r="L174" i="13"/>
  <c r="J174" i="13"/>
  <c r="K174" i="13" s="1"/>
  <c r="I174" i="13"/>
  <c r="H174" i="13"/>
  <c r="G174" i="13"/>
  <c r="E174" i="13"/>
  <c r="F174" i="13" s="1"/>
  <c r="D174" i="13"/>
  <c r="L173" i="13"/>
  <c r="J173" i="13"/>
  <c r="K173" i="13" s="1"/>
  <c r="I173" i="13"/>
  <c r="H173" i="13"/>
  <c r="G173" i="13"/>
  <c r="E173" i="13"/>
  <c r="F173" i="13" s="1"/>
  <c r="D173" i="13"/>
  <c r="L172" i="13"/>
  <c r="J172" i="13"/>
  <c r="K172" i="13" s="1"/>
  <c r="I172" i="13"/>
  <c r="H172" i="13"/>
  <c r="G172" i="13"/>
  <c r="E172" i="13"/>
  <c r="F172" i="13" s="1"/>
  <c r="D172" i="13"/>
  <c r="L171" i="13"/>
  <c r="J171" i="13"/>
  <c r="K171" i="13" s="1"/>
  <c r="I171" i="13"/>
  <c r="H171" i="13"/>
  <c r="G171" i="13"/>
  <c r="E171" i="13"/>
  <c r="F171" i="13" s="1"/>
  <c r="D171" i="13"/>
  <c r="L170" i="13"/>
  <c r="J170" i="13"/>
  <c r="K170" i="13" s="1"/>
  <c r="I170" i="13"/>
  <c r="H170" i="13"/>
  <c r="G170" i="13"/>
  <c r="E170" i="13"/>
  <c r="F170" i="13" s="1"/>
  <c r="D170" i="13"/>
  <c r="L169" i="13"/>
  <c r="J169" i="13"/>
  <c r="K169" i="13" s="1"/>
  <c r="I169" i="13"/>
  <c r="H169" i="13"/>
  <c r="G169" i="13"/>
  <c r="E169" i="13"/>
  <c r="F169" i="13" s="1"/>
  <c r="D169" i="13"/>
  <c r="L168" i="13"/>
  <c r="J168" i="13"/>
  <c r="K168" i="13" s="1"/>
  <c r="I168" i="13"/>
  <c r="H168" i="13"/>
  <c r="G168" i="13"/>
  <c r="E168" i="13"/>
  <c r="F168" i="13" s="1"/>
  <c r="D168" i="13"/>
  <c r="L167" i="13"/>
  <c r="J167" i="13"/>
  <c r="K167" i="13" s="1"/>
  <c r="I167" i="13"/>
  <c r="H167" i="13"/>
  <c r="G167" i="13"/>
  <c r="E167" i="13"/>
  <c r="F167" i="13" s="1"/>
  <c r="D167" i="13"/>
  <c r="L166" i="13"/>
  <c r="J166" i="13"/>
  <c r="K166" i="13" s="1"/>
  <c r="I166" i="13"/>
  <c r="H166" i="13"/>
  <c r="G166" i="13"/>
  <c r="E166" i="13"/>
  <c r="F166" i="13" s="1"/>
  <c r="D166" i="13"/>
  <c r="L165" i="13"/>
  <c r="J165" i="13"/>
  <c r="K165" i="13" s="1"/>
  <c r="I165" i="13"/>
  <c r="H165" i="13"/>
  <c r="G165" i="13"/>
  <c r="E165" i="13"/>
  <c r="F165" i="13" s="1"/>
  <c r="D165" i="13"/>
  <c r="L164" i="13"/>
  <c r="J164" i="13"/>
  <c r="K164" i="13" s="1"/>
  <c r="I164" i="13"/>
  <c r="H164" i="13"/>
  <c r="G164" i="13"/>
  <c r="E164" i="13"/>
  <c r="F164" i="13" s="1"/>
  <c r="D164" i="13"/>
  <c r="L163" i="13"/>
  <c r="J163" i="13"/>
  <c r="K163" i="13" s="1"/>
  <c r="I163" i="13"/>
  <c r="H163" i="13"/>
  <c r="G163" i="13"/>
  <c r="E163" i="13"/>
  <c r="F163" i="13" s="1"/>
  <c r="D163" i="13"/>
  <c r="L162" i="13"/>
  <c r="J162" i="13"/>
  <c r="K162" i="13" s="1"/>
  <c r="I162" i="13"/>
  <c r="G162" i="13"/>
  <c r="E162" i="13"/>
  <c r="F162" i="13" s="1"/>
  <c r="D162" i="13"/>
  <c r="D182" i="13" s="1"/>
  <c r="K156" i="13"/>
  <c r="K160" i="13" s="1"/>
  <c r="H156" i="13"/>
  <c r="H160" i="13" s="1"/>
  <c r="D135" i="13"/>
  <c r="E135" i="13"/>
  <c r="F135" i="13" s="1"/>
  <c r="G135" i="13"/>
  <c r="H135" i="13"/>
  <c r="I135" i="13"/>
  <c r="J135" i="13"/>
  <c r="K135" i="13" s="1"/>
  <c r="L135" i="13"/>
  <c r="D136" i="13"/>
  <c r="E136" i="13"/>
  <c r="F136" i="13" s="1"/>
  <c r="G136" i="13"/>
  <c r="H136" i="13"/>
  <c r="I136" i="13"/>
  <c r="J136" i="13"/>
  <c r="K136" i="13" s="1"/>
  <c r="L136" i="13"/>
  <c r="D137" i="13"/>
  <c r="E137" i="13"/>
  <c r="F137" i="13" s="1"/>
  <c r="G137" i="13"/>
  <c r="H137" i="13"/>
  <c r="I137" i="13"/>
  <c r="J137" i="13"/>
  <c r="K137" i="13" s="1"/>
  <c r="L137" i="13"/>
  <c r="D138" i="13"/>
  <c r="E138" i="13"/>
  <c r="F138" i="13" s="1"/>
  <c r="G138" i="13"/>
  <c r="H138" i="13"/>
  <c r="I138" i="13"/>
  <c r="J138" i="13"/>
  <c r="K138" i="13" s="1"/>
  <c r="L138" i="13"/>
  <c r="D139" i="13"/>
  <c r="E139" i="13"/>
  <c r="F139" i="13" s="1"/>
  <c r="G139" i="13"/>
  <c r="H139" i="13"/>
  <c r="I139" i="13"/>
  <c r="J139" i="13"/>
  <c r="K139" i="13" s="1"/>
  <c r="L139" i="13"/>
  <c r="D140" i="13"/>
  <c r="E140" i="13"/>
  <c r="F140" i="13" s="1"/>
  <c r="G140" i="13"/>
  <c r="H140" i="13"/>
  <c r="I140" i="13"/>
  <c r="J140" i="13"/>
  <c r="K140" i="13" s="1"/>
  <c r="L140" i="13"/>
  <c r="D141" i="13"/>
  <c r="E141" i="13"/>
  <c r="F141" i="13" s="1"/>
  <c r="G141" i="13"/>
  <c r="H141" i="13"/>
  <c r="I141" i="13"/>
  <c r="J141" i="13"/>
  <c r="K141" i="13" s="1"/>
  <c r="L141" i="13"/>
  <c r="D142" i="13"/>
  <c r="E142" i="13"/>
  <c r="F142" i="13" s="1"/>
  <c r="G142" i="13"/>
  <c r="H142" i="13"/>
  <c r="I142" i="13"/>
  <c r="J142" i="13"/>
  <c r="K142" i="13" s="1"/>
  <c r="L142" i="13"/>
  <c r="D143" i="13"/>
  <c r="E143" i="13"/>
  <c r="F143" i="13" s="1"/>
  <c r="G143" i="13"/>
  <c r="H143" i="13"/>
  <c r="I143" i="13"/>
  <c r="J143" i="13"/>
  <c r="K143" i="13" s="1"/>
  <c r="L143" i="13"/>
  <c r="D144" i="13"/>
  <c r="E144" i="13"/>
  <c r="F144" i="13" s="1"/>
  <c r="G144" i="13"/>
  <c r="H144" i="13"/>
  <c r="I144" i="13"/>
  <c r="J144" i="13"/>
  <c r="K144" i="13" s="1"/>
  <c r="L144" i="13"/>
  <c r="D145" i="13"/>
  <c r="E145" i="13"/>
  <c r="F145" i="13" s="1"/>
  <c r="G145" i="13"/>
  <c r="H145" i="13"/>
  <c r="I145" i="13"/>
  <c r="J145" i="13"/>
  <c r="K145" i="13" s="1"/>
  <c r="L145" i="13"/>
  <c r="D146" i="13"/>
  <c r="E146" i="13"/>
  <c r="F146" i="13" s="1"/>
  <c r="G146" i="13"/>
  <c r="H146" i="13"/>
  <c r="I146" i="13"/>
  <c r="J146" i="13"/>
  <c r="K146" i="13" s="1"/>
  <c r="L146" i="13"/>
  <c r="D147" i="13"/>
  <c r="E147" i="13"/>
  <c r="F147" i="13" s="1"/>
  <c r="G147" i="13"/>
  <c r="H147" i="13"/>
  <c r="I147" i="13"/>
  <c r="J147" i="13"/>
  <c r="K147" i="13" s="1"/>
  <c r="L147" i="13"/>
  <c r="D148" i="13"/>
  <c r="E148" i="13"/>
  <c r="F148" i="13" s="1"/>
  <c r="G148" i="13"/>
  <c r="H148" i="13"/>
  <c r="I148" i="13"/>
  <c r="J148" i="13"/>
  <c r="K148" i="13" s="1"/>
  <c r="L148" i="13"/>
  <c r="D149" i="13"/>
  <c r="E149" i="13"/>
  <c r="F149" i="13" s="1"/>
  <c r="G149" i="13"/>
  <c r="H149" i="13"/>
  <c r="I149" i="13"/>
  <c r="J149" i="13"/>
  <c r="K149" i="13" s="1"/>
  <c r="L149" i="13"/>
  <c r="D150" i="13"/>
  <c r="E150" i="13"/>
  <c r="F150" i="13" s="1"/>
  <c r="G150" i="13"/>
  <c r="H150" i="13"/>
  <c r="I150" i="13"/>
  <c r="J150" i="13"/>
  <c r="K150" i="13" s="1"/>
  <c r="L150" i="13"/>
  <c r="D151" i="13"/>
  <c r="E151" i="13"/>
  <c r="F151" i="13" s="1"/>
  <c r="G151" i="13"/>
  <c r="H151" i="13"/>
  <c r="I151" i="13"/>
  <c r="J151" i="13"/>
  <c r="K151" i="13" s="1"/>
  <c r="L151" i="13"/>
  <c r="D152" i="13"/>
  <c r="E152" i="13"/>
  <c r="F152" i="13" s="1"/>
  <c r="G152" i="13"/>
  <c r="H152" i="13"/>
  <c r="I152" i="13"/>
  <c r="J152" i="13"/>
  <c r="K152" i="13" s="1"/>
  <c r="L152" i="13"/>
  <c r="D153" i="13"/>
  <c r="E153" i="13"/>
  <c r="F153" i="13" s="1"/>
  <c r="G153" i="13"/>
  <c r="H153" i="13"/>
  <c r="I153" i="13"/>
  <c r="J153" i="13"/>
  <c r="K153" i="13" s="1"/>
  <c r="L153" i="13"/>
  <c r="L134" i="13"/>
  <c r="J134" i="13"/>
  <c r="K134" i="13" s="1"/>
  <c r="I134" i="13"/>
  <c r="G134" i="13"/>
  <c r="E134" i="13"/>
  <c r="F134" i="13" s="1"/>
  <c r="D134" i="13"/>
  <c r="D154" i="13" s="1"/>
  <c r="K128" i="13"/>
  <c r="K132" i="13" s="1"/>
  <c r="H128" i="13"/>
  <c r="H131" i="13" s="1"/>
  <c r="L107" i="13"/>
  <c r="L108" i="13"/>
  <c r="L109" i="13"/>
  <c r="L110" i="13"/>
  <c r="L111" i="13"/>
  <c r="L112" i="13"/>
  <c r="L113" i="13"/>
  <c r="L114" i="13"/>
  <c r="L115" i="13"/>
  <c r="L116" i="13"/>
  <c r="L117" i="13"/>
  <c r="L118" i="13"/>
  <c r="L119" i="13"/>
  <c r="L120" i="13"/>
  <c r="L121" i="13"/>
  <c r="L122" i="13"/>
  <c r="L123" i="13"/>
  <c r="L124" i="13"/>
  <c r="L125" i="13"/>
  <c r="L106" i="13"/>
  <c r="J107" i="13"/>
  <c r="K107" i="13" s="1"/>
  <c r="J108" i="13"/>
  <c r="K108" i="13" s="1"/>
  <c r="J109" i="13"/>
  <c r="K109" i="13" s="1"/>
  <c r="J110" i="13"/>
  <c r="K110" i="13" s="1"/>
  <c r="J111" i="13"/>
  <c r="K111" i="13" s="1"/>
  <c r="J112" i="13"/>
  <c r="K112" i="13" s="1"/>
  <c r="J113" i="13"/>
  <c r="K113" i="13" s="1"/>
  <c r="J114" i="13"/>
  <c r="K114" i="13" s="1"/>
  <c r="J115" i="13"/>
  <c r="K115" i="13" s="1"/>
  <c r="J116" i="13"/>
  <c r="K116" i="13" s="1"/>
  <c r="J117" i="13"/>
  <c r="K117" i="13" s="1"/>
  <c r="J118" i="13"/>
  <c r="K118" i="13" s="1"/>
  <c r="J119" i="13"/>
  <c r="K119" i="13" s="1"/>
  <c r="J120" i="13"/>
  <c r="K120" i="13" s="1"/>
  <c r="J121" i="13"/>
  <c r="K121" i="13" s="1"/>
  <c r="J122" i="13"/>
  <c r="K122" i="13" s="1"/>
  <c r="J123" i="13"/>
  <c r="K123" i="13" s="1"/>
  <c r="J124" i="13"/>
  <c r="K124" i="13" s="1"/>
  <c r="J125" i="13"/>
  <c r="K125" i="13" s="1"/>
  <c r="J106" i="13"/>
  <c r="K106" i="13" s="1"/>
  <c r="I107" i="13"/>
  <c r="I108" i="13"/>
  <c r="I109" i="13"/>
  <c r="I110" i="13"/>
  <c r="I111" i="13"/>
  <c r="I112" i="13"/>
  <c r="I113" i="13"/>
  <c r="I114" i="13"/>
  <c r="I115" i="13"/>
  <c r="I116" i="13"/>
  <c r="I117" i="13"/>
  <c r="I118" i="13"/>
  <c r="I119" i="13"/>
  <c r="I120" i="13"/>
  <c r="I121" i="13"/>
  <c r="I122" i="13"/>
  <c r="I123" i="13"/>
  <c r="I124" i="13"/>
  <c r="I125" i="13"/>
  <c r="I106" i="13"/>
  <c r="H107" i="13"/>
  <c r="X99" i="3" s="1"/>
  <c r="H109" i="13"/>
  <c r="X101" i="3" s="1"/>
  <c r="H110" i="13"/>
  <c r="X102" i="3" s="1"/>
  <c r="H111" i="13"/>
  <c r="X103" i="3" s="1"/>
  <c r="H112" i="13"/>
  <c r="X104" i="3" s="1"/>
  <c r="H113" i="13"/>
  <c r="X105" i="3" s="1"/>
  <c r="H114" i="13"/>
  <c r="X106" i="3" s="1"/>
  <c r="H115" i="13"/>
  <c r="X107" i="3" s="1"/>
  <c r="H116" i="13"/>
  <c r="X108" i="3" s="1"/>
  <c r="H117" i="13"/>
  <c r="X109" i="3" s="1"/>
  <c r="H118" i="13"/>
  <c r="X110" i="3" s="1"/>
  <c r="H119" i="13"/>
  <c r="X111" i="3" s="1"/>
  <c r="H120" i="13"/>
  <c r="X112" i="3" s="1"/>
  <c r="H121" i="13"/>
  <c r="X113" i="3" s="1"/>
  <c r="H122" i="13"/>
  <c r="X114" i="3" s="1"/>
  <c r="H123" i="13"/>
  <c r="X115" i="3" s="1"/>
  <c r="H124" i="13"/>
  <c r="X116" i="3" s="1"/>
  <c r="H125" i="13"/>
  <c r="X117" i="3" s="1"/>
  <c r="G106" i="13"/>
  <c r="G125" i="13"/>
  <c r="G124" i="13"/>
  <c r="G123" i="13"/>
  <c r="G122" i="13"/>
  <c r="G121" i="13"/>
  <c r="G120" i="13"/>
  <c r="G119" i="13"/>
  <c r="G118" i="13"/>
  <c r="G117" i="13"/>
  <c r="G116" i="13"/>
  <c r="G115" i="13"/>
  <c r="G114" i="13"/>
  <c r="G113" i="13"/>
  <c r="G112" i="13"/>
  <c r="G111" i="13"/>
  <c r="G110" i="13"/>
  <c r="G109" i="13"/>
  <c r="G108" i="13"/>
  <c r="G107" i="13"/>
  <c r="E107" i="13"/>
  <c r="F107" i="13" s="1"/>
  <c r="E108" i="13"/>
  <c r="F108" i="13" s="1"/>
  <c r="E109" i="13"/>
  <c r="F109" i="13" s="1"/>
  <c r="E110" i="13"/>
  <c r="F110" i="13" s="1"/>
  <c r="E111" i="13"/>
  <c r="F111" i="13" s="1"/>
  <c r="E112" i="13"/>
  <c r="F112" i="13" s="1"/>
  <c r="E113" i="13"/>
  <c r="F113" i="13" s="1"/>
  <c r="E114" i="13"/>
  <c r="F114" i="13" s="1"/>
  <c r="E115" i="13"/>
  <c r="F115" i="13" s="1"/>
  <c r="E116" i="13"/>
  <c r="F116" i="13" s="1"/>
  <c r="E117" i="13"/>
  <c r="F117" i="13" s="1"/>
  <c r="E118" i="13"/>
  <c r="F118" i="13" s="1"/>
  <c r="E119" i="13"/>
  <c r="F119" i="13" s="1"/>
  <c r="E120" i="13"/>
  <c r="F120" i="13" s="1"/>
  <c r="E121" i="13"/>
  <c r="F121" i="13" s="1"/>
  <c r="E122" i="13"/>
  <c r="F122" i="13" s="1"/>
  <c r="E123" i="13"/>
  <c r="F123" i="13" s="1"/>
  <c r="E124" i="13"/>
  <c r="F124" i="13" s="1"/>
  <c r="E125" i="13"/>
  <c r="F125" i="13" s="1"/>
  <c r="E106" i="13"/>
  <c r="D107" i="13"/>
  <c r="D108" i="13"/>
  <c r="D109" i="13"/>
  <c r="D110" i="13"/>
  <c r="D111" i="13"/>
  <c r="D112" i="13"/>
  <c r="D113" i="13"/>
  <c r="D114" i="13"/>
  <c r="D115" i="13"/>
  <c r="D116" i="13"/>
  <c r="D117" i="13"/>
  <c r="D118" i="13"/>
  <c r="D119" i="13"/>
  <c r="D120" i="13"/>
  <c r="D121" i="13"/>
  <c r="D122" i="13"/>
  <c r="D123" i="13"/>
  <c r="D124" i="13"/>
  <c r="D125" i="13"/>
  <c r="D106" i="13"/>
  <c r="F106" i="13" l="1"/>
  <c r="H108" i="13"/>
  <c r="X100" i="3" s="1"/>
  <c r="H162" i="13"/>
  <c r="H182" i="13" s="1"/>
  <c r="H36" i="20"/>
  <c r="H134" i="13"/>
  <c r="M134" i="13" s="1"/>
  <c r="AA133" i="3" s="1"/>
  <c r="H35" i="20"/>
  <c r="H106" i="13"/>
  <c r="E73" i="5"/>
  <c r="F73" i="5" s="1"/>
  <c r="E79" i="5"/>
  <c r="F79" i="5" s="1"/>
  <c r="G188" i="13"/>
  <c r="E77" i="5"/>
  <c r="F77" i="5" s="1"/>
  <c r="AA162" i="3"/>
  <c r="G84" i="5"/>
  <c r="H84" i="5" s="1"/>
  <c r="N188" i="13"/>
  <c r="G78" i="5"/>
  <c r="H78" i="5" s="1"/>
  <c r="X162" i="3"/>
  <c r="E84" i="5"/>
  <c r="F84" i="5" s="1"/>
  <c r="M148" i="13"/>
  <c r="AA147" i="3" s="1"/>
  <c r="X147" i="3"/>
  <c r="M149" i="13"/>
  <c r="AA148" i="3" s="1"/>
  <c r="X148" i="3"/>
  <c r="M142" i="13"/>
  <c r="AA141" i="3" s="1"/>
  <c r="X141" i="3"/>
  <c r="M165" i="13"/>
  <c r="AA171" i="3" s="1"/>
  <c r="X171" i="3"/>
  <c r="M173" i="13"/>
  <c r="AA179" i="3" s="1"/>
  <c r="X179" i="3"/>
  <c r="M181" i="13"/>
  <c r="AA187" i="3" s="1"/>
  <c r="X187" i="3"/>
  <c r="M151" i="13"/>
  <c r="AA150" i="3" s="1"/>
  <c r="X150" i="3"/>
  <c r="M143" i="13"/>
  <c r="AA142" i="3" s="1"/>
  <c r="X142" i="3"/>
  <c r="M135" i="13"/>
  <c r="AA134" i="3" s="1"/>
  <c r="X134" i="3"/>
  <c r="M164" i="13"/>
  <c r="AA170" i="3" s="1"/>
  <c r="X170" i="3"/>
  <c r="M172" i="13"/>
  <c r="AA178" i="3" s="1"/>
  <c r="X178" i="3"/>
  <c r="M180" i="13"/>
  <c r="AA186" i="3" s="1"/>
  <c r="X186" i="3"/>
  <c r="M166" i="13"/>
  <c r="AA172" i="3" s="1"/>
  <c r="X172" i="3"/>
  <c r="M152" i="13"/>
  <c r="AA151" i="3" s="1"/>
  <c r="X151" i="3"/>
  <c r="M163" i="13"/>
  <c r="AA169" i="3" s="1"/>
  <c r="X169" i="3"/>
  <c r="M171" i="13"/>
  <c r="AA177" i="3" s="1"/>
  <c r="X177" i="3"/>
  <c r="M153" i="13"/>
  <c r="AA152" i="3" s="1"/>
  <c r="X152" i="3"/>
  <c r="M145" i="13"/>
  <c r="AA144" i="3" s="1"/>
  <c r="X144" i="3"/>
  <c r="M137" i="13"/>
  <c r="AA136" i="3" s="1"/>
  <c r="X136" i="3"/>
  <c r="M162" i="13"/>
  <c r="AA168" i="3" s="1"/>
  <c r="M170" i="13"/>
  <c r="AA176" i="3" s="1"/>
  <c r="X176" i="3"/>
  <c r="M178" i="13"/>
  <c r="AA184" i="3" s="1"/>
  <c r="X184" i="3"/>
  <c r="M140" i="13"/>
  <c r="AA139" i="3" s="1"/>
  <c r="X139" i="3"/>
  <c r="M175" i="13"/>
  <c r="AA181" i="3" s="1"/>
  <c r="X181" i="3"/>
  <c r="M174" i="13"/>
  <c r="AA180" i="3" s="1"/>
  <c r="X180" i="3"/>
  <c r="M150" i="13"/>
  <c r="AA149" i="3" s="1"/>
  <c r="X149" i="3"/>
  <c r="M136" i="13"/>
  <c r="AA135" i="3" s="1"/>
  <c r="X135" i="3"/>
  <c r="M179" i="13"/>
  <c r="AA185" i="3" s="1"/>
  <c r="X185" i="3"/>
  <c r="M146" i="13"/>
  <c r="AA145" i="3" s="1"/>
  <c r="X145" i="3"/>
  <c r="M138" i="13"/>
  <c r="AA137" i="3" s="1"/>
  <c r="X137" i="3"/>
  <c r="M169" i="13"/>
  <c r="AA175" i="3" s="1"/>
  <c r="X175" i="3"/>
  <c r="M177" i="13"/>
  <c r="AA183" i="3" s="1"/>
  <c r="X183" i="3"/>
  <c r="D188" i="3"/>
  <c r="M167" i="13"/>
  <c r="AA173" i="3" s="1"/>
  <c r="X173" i="3"/>
  <c r="M141" i="13"/>
  <c r="AA140" i="3" s="1"/>
  <c r="X140" i="3"/>
  <c r="M144" i="13"/>
  <c r="AA143" i="3" s="1"/>
  <c r="X143" i="3"/>
  <c r="M147" i="13"/>
  <c r="AA146" i="3" s="1"/>
  <c r="X146" i="3"/>
  <c r="M139" i="13"/>
  <c r="AA138" i="3" s="1"/>
  <c r="X138" i="3"/>
  <c r="D153" i="3"/>
  <c r="M168" i="13"/>
  <c r="AA174" i="3" s="1"/>
  <c r="X174" i="3"/>
  <c r="M176" i="13"/>
  <c r="AA182" i="3" s="1"/>
  <c r="X182" i="3"/>
  <c r="M109" i="13"/>
  <c r="AA101" i="3" s="1"/>
  <c r="M125" i="13"/>
  <c r="AA117" i="3" s="1"/>
  <c r="M118" i="13"/>
  <c r="AA110" i="3" s="1"/>
  <c r="M117" i="13"/>
  <c r="AA109" i="3" s="1"/>
  <c r="M110" i="13"/>
  <c r="AA102" i="3" s="1"/>
  <c r="M116" i="13"/>
  <c r="AA108" i="3" s="1"/>
  <c r="M114" i="13"/>
  <c r="AA106" i="3" s="1"/>
  <c r="I154" i="13"/>
  <c r="C35" i="20" s="1"/>
  <c r="M124" i="13"/>
  <c r="AA116" i="3" s="1"/>
  <c r="M108" i="13"/>
  <c r="AA100" i="3" s="1"/>
  <c r="I182" i="13"/>
  <c r="M122" i="13"/>
  <c r="AA114" i="3" s="1"/>
  <c r="M123" i="13"/>
  <c r="AA115" i="3" s="1"/>
  <c r="M115" i="13"/>
  <c r="AA107" i="3" s="1"/>
  <c r="M121" i="13"/>
  <c r="AA113" i="3" s="1"/>
  <c r="M113" i="13"/>
  <c r="AA105" i="3" s="1"/>
  <c r="M120" i="13"/>
  <c r="AA112" i="3" s="1"/>
  <c r="M112" i="13"/>
  <c r="AA104" i="3" s="1"/>
  <c r="M119" i="13"/>
  <c r="AA111" i="3" s="1"/>
  <c r="M111" i="13"/>
  <c r="AA103" i="3" s="1"/>
  <c r="B336" i="13"/>
  <c r="H189" i="13"/>
  <c r="N189" i="13"/>
  <c r="H129" i="13"/>
  <c r="E75" i="5" s="1"/>
  <c r="F75" i="5" s="1"/>
  <c r="H132" i="13"/>
  <c r="E78" i="5" s="1"/>
  <c r="F78" i="5" s="1"/>
  <c r="K129" i="13"/>
  <c r="G75" i="5" s="1"/>
  <c r="H75" i="5" s="1"/>
  <c r="K157" i="13"/>
  <c r="K158" i="13"/>
  <c r="K159" i="13"/>
  <c r="D126" i="13"/>
  <c r="H130" i="13"/>
  <c r="E76" i="5" s="1"/>
  <c r="F76" i="5" s="1"/>
  <c r="H157" i="13"/>
  <c r="H158" i="13"/>
  <c r="H159" i="13"/>
  <c r="K130" i="13"/>
  <c r="G76" i="5" s="1"/>
  <c r="H76" i="5" s="1"/>
  <c r="K131" i="13"/>
  <c r="G77" i="5" s="1"/>
  <c r="H77" i="5" s="1"/>
  <c r="M107" i="13"/>
  <c r="AA99" i="3" s="1"/>
  <c r="AA127" i="3"/>
  <c r="X126" i="3"/>
  <c r="O164" i="3"/>
  <c r="O129" i="3"/>
  <c r="H100" i="13"/>
  <c r="H103" i="13" s="1"/>
  <c r="E71" i="5" s="1"/>
  <c r="F71" i="5" s="1"/>
  <c r="K100" i="13"/>
  <c r="K101" i="13" s="1"/>
  <c r="G69" i="5" s="1"/>
  <c r="H69" i="5" s="1"/>
  <c r="O94" i="3"/>
  <c r="X168" i="3" l="1"/>
  <c r="X98" i="3"/>
  <c r="M106" i="13"/>
  <c r="AA98" i="3" s="1"/>
  <c r="K36" i="20"/>
  <c r="C36" i="20"/>
  <c r="H154" i="13"/>
  <c r="X153" i="3" s="1"/>
  <c r="X133" i="3"/>
  <c r="K35" i="20"/>
  <c r="H34" i="20"/>
  <c r="H126" i="13"/>
  <c r="X118" i="3" s="1"/>
  <c r="G73" i="5"/>
  <c r="H73" i="5" s="1"/>
  <c r="E80" i="5"/>
  <c r="F80" i="5" s="1"/>
  <c r="G79" i="5"/>
  <c r="H79" i="5" s="1"/>
  <c r="E67" i="5"/>
  <c r="F67" i="5" s="1"/>
  <c r="X161" i="3"/>
  <c r="E83" i="5"/>
  <c r="F83" i="5" s="1"/>
  <c r="AA161" i="3"/>
  <c r="G83" i="5"/>
  <c r="H83" i="5" s="1"/>
  <c r="X160" i="3"/>
  <c r="E82" i="5"/>
  <c r="F82" i="5" s="1"/>
  <c r="AA160" i="3"/>
  <c r="G82" i="5"/>
  <c r="H82" i="5" s="1"/>
  <c r="AA159" i="3"/>
  <c r="G81" i="5"/>
  <c r="H81" i="5" s="1"/>
  <c r="X159" i="3"/>
  <c r="E81" i="5"/>
  <c r="F81" i="5" s="1"/>
  <c r="X188" i="3"/>
  <c r="O188" i="3"/>
  <c r="O153" i="3"/>
  <c r="I126" i="13"/>
  <c r="C34" i="20" s="1"/>
  <c r="M182" i="13"/>
  <c r="D118" i="3"/>
  <c r="B337" i="13"/>
  <c r="G189" i="13"/>
  <c r="K189" i="13"/>
  <c r="F189" i="13"/>
  <c r="E189" i="13"/>
  <c r="L188" i="13"/>
  <c r="L189" i="13"/>
  <c r="M189" i="13"/>
  <c r="AA125" i="3"/>
  <c r="X91" i="3"/>
  <c r="G187" i="13"/>
  <c r="X124" i="3"/>
  <c r="E188" i="13"/>
  <c r="AA124" i="3"/>
  <c r="K188" i="13"/>
  <c r="AA89" i="3"/>
  <c r="K187" i="13"/>
  <c r="X127" i="3"/>
  <c r="H188" i="13"/>
  <c r="AA126" i="3"/>
  <c r="M188" i="13"/>
  <c r="X125" i="3"/>
  <c r="F188" i="13"/>
  <c r="H102" i="13"/>
  <c r="E70" i="5" s="1"/>
  <c r="F70" i="5" s="1"/>
  <c r="H101" i="13"/>
  <c r="E69" i="5" s="1"/>
  <c r="F69" i="5" s="1"/>
  <c r="K103" i="13"/>
  <c r="G71" i="5" s="1"/>
  <c r="H71" i="5" s="1"/>
  <c r="K104" i="13"/>
  <c r="G72" i="5" s="1"/>
  <c r="H72" i="5" s="1"/>
  <c r="K102" i="13"/>
  <c r="G70" i="5" s="1"/>
  <c r="H70" i="5" s="1"/>
  <c r="H104" i="13"/>
  <c r="E72" i="5" s="1"/>
  <c r="F72" i="5" s="1"/>
  <c r="K94" i="13"/>
  <c r="K98" i="13" s="1"/>
  <c r="H94" i="13"/>
  <c r="H96" i="13" s="1"/>
  <c r="K93" i="13"/>
  <c r="H93" i="13"/>
  <c r="K87" i="13"/>
  <c r="H87" i="13"/>
  <c r="L85" i="13"/>
  <c r="L84" i="13"/>
  <c r="AA59" i="3"/>
  <c r="X59" i="3"/>
  <c r="K70" i="13"/>
  <c r="H70" i="13"/>
  <c r="K69" i="13"/>
  <c r="H69" i="13"/>
  <c r="K54" i="13"/>
  <c r="H54" i="13"/>
  <c r="K65" i="13"/>
  <c r="H65" i="13"/>
  <c r="I53" i="3"/>
  <c r="P53" i="3"/>
  <c r="M53" i="3"/>
  <c r="N55" i="13"/>
  <c r="G56" i="8"/>
  <c r="C56" i="8"/>
  <c r="G54" i="8"/>
  <c r="C54" i="8"/>
  <c r="G52" i="8"/>
  <c r="C52" i="8"/>
  <c r="G50" i="8"/>
  <c r="C50" i="8"/>
  <c r="G48" i="8"/>
  <c r="C48" i="8"/>
  <c r="G46" i="8"/>
  <c r="C46" i="8"/>
  <c r="G100" i="5" l="1"/>
  <c r="H100" i="5" s="1"/>
  <c r="J35" i="9"/>
  <c r="E98" i="5"/>
  <c r="F98" i="5" s="1"/>
  <c r="G33" i="9"/>
  <c r="E23" i="20"/>
  <c r="M154" i="13"/>
  <c r="AA153" i="3" s="1"/>
  <c r="E74" i="5"/>
  <c r="F74" i="5" s="1"/>
  <c r="E27" i="20"/>
  <c r="K34" i="20"/>
  <c r="E68" i="5"/>
  <c r="F68" i="5" s="1"/>
  <c r="G67" i="5"/>
  <c r="H67" i="5" s="1"/>
  <c r="E53" i="5"/>
  <c r="G80" i="5"/>
  <c r="H80" i="5" s="1"/>
  <c r="G53" i="5"/>
  <c r="M84" i="13"/>
  <c r="M85" i="13"/>
  <c r="G64" i="5"/>
  <c r="E64" i="5"/>
  <c r="AA188" i="3"/>
  <c r="AA54" i="3"/>
  <c r="X67" i="3"/>
  <c r="O118" i="3"/>
  <c r="X73" i="3"/>
  <c r="B338" i="13"/>
  <c r="H187" i="13"/>
  <c r="H186" i="13" s="1"/>
  <c r="E187" i="13"/>
  <c r="E186" i="13" s="1"/>
  <c r="F187" i="13"/>
  <c r="F186" i="13" s="1"/>
  <c r="M187" i="13"/>
  <c r="M186" i="13" s="1"/>
  <c r="L187" i="13"/>
  <c r="L186" i="13" s="1"/>
  <c r="N187" i="13"/>
  <c r="N186" i="13" s="1"/>
  <c r="X54" i="3"/>
  <c r="K186" i="13"/>
  <c r="G186" i="13"/>
  <c r="AA90" i="3"/>
  <c r="AA91" i="3"/>
  <c r="AD126" i="3" s="1"/>
  <c r="AH126" i="3" s="1"/>
  <c r="X90" i="3"/>
  <c r="X92" i="3"/>
  <c r="AA92" i="3"/>
  <c r="X89" i="3"/>
  <c r="H95" i="13"/>
  <c r="H98" i="13"/>
  <c r="H97" i="13"/>
  <c r="K95" i="13"/>
  <c r="K96" i="13"/>
  <c r="K97" i="13"/>
  <c r="AA82" i="3"/>
  <c r="X80" i="3"/>
  <c r="AA67" i="3"/>
  <c r="F18" i="13"/>
  <c r="G316" i="13"/>
  <c r="F24" i="13"/>
  <c r="G328" i="13"/>
  <c r="G327" i="13"/>
  <c r="G326" i="13"/>
  <c r="G325" i="13"/>
  <c r="G324" i="13"/>
  <c r="G323" i="13"/>
  <c r="G322" i="13"/>
  <c r="G321" i="13"/>
  <c r="G320" i="13"/>
  <c r="G319" i="13"/>
  <c r="G318" i="13"/>
  <c r="G317" i="13"/>
  <c r="E100" i="5" l="1"/>
  <c r="F100" i="5" s="1"/>
  <c r="G35" i="9"/>
  <c r="G98" i="5"/>
  <c r="H98" i="5" s="1"/>
  <c r="J33" i="9"/>
  <c r="G97" i="5"/>
  <c r="H97" i="5" s="1"/>
  <c r="J32" i="9"/>
  <c r="E97" i="5"/>
  <c r="F97" i="5" s="1"/>
  <c r="G32" i="9"/>
  <c r="E99" i="5"/>
  <c r="F99" i="5" s="1"/>
  <c r="G34" i="9"/>
  <c r="G99" i="5"/>
  <c r="H99" i="5" s="1"/>
  <c r="J34" i="9"/>
  <c r="G74" i="5"/>
  <c r="H74" i="5" s="1"/>
  <c r="C33" i="20"/>
  <c r="K84" i="13"/>
  <c r="G61" i="5" s="1"/>
  <c r="E61" i="5"/>
  <c r="K85" i="13"/>
  <c r="AA80" i="3"/>
  <c r="AA81" i="3"/>
  <c r="X81" i="3"/>
  <c r="X82" i="3"/>
  <c r="X79" i="3"/>
  <c r="AD124" i="3"/>
  <c r="AH124" i="3" s="1"/>
  <c r="AD159" i="3"/>
  <c r="AH159" i="3" s="1"/>
  <c r="AD89" i="3"/>
  <c r="AH89" i="3" s="1"/>
  <c r="AD127" i="3"/>
  <c r="AH127" i="3" s="1"/>
  <c r="AD162" i="3"/>
  <c r="AH162" i="3" s="1"/>
  <c r="AD92" i="3"/>
  <c r="AH92" i="3" s="1"/>
  <c r="AD91" i="3"/>
  <c r="AH91" i="3" s="1"/>
  <c r="AD125" i="3"/>
  <c r="AH125" i="3" s="1"/>
  <c r="AD160" i="3"/>
  <c r="AH160" i="3" s="1"/>
  <c r="AD90" i="3"/>
  <c r="AH90" i="3" s="1"/>
  <c r="AD161" i="3"/>
  <c r="AH161" i="3" s="1"/>
  <c r="G6" i="9"/>
  <c r="B339" i="13"/>
  <c r="AA79" i="3"/>
  <c r="X34" i="3"/>
  <c r="F25" i="13"/>
  <c r="T49" i="3" s="1"/>
  <c r="G62" i="5" l="1"/>
  <c r="E62" i="5"/>
  <c r="B43" i="10"/>
  <c r="B44" i="10" s="1"/>
  <c r="B45" i="10" s="1"/>
  <c r="B10" i="19"/>
  <c r="B11" i="19" s="1"/>
  <c r="C11" i="19" s="1"/>
  <c r="B9" i="10"/>
  <c r="B10" i="10" s="1"/>
  <c r="C10" i="10" s="1"/>
  <c r="X65" i="3"/>
  <c r="AA66" i="3"/>
  <c r="B66" i="19"/>
  <c r="B67" i="19" s="1"/>
  <c r="C67" i="19" s="1"/>
  <c r="AA65" i="3"/>
  <c r="B37" i="17"/>
  <c r="X66" i="3"/>
  <c r="J6" i="9"/>
  <c r="B340" i="13"/>
  <c r="H75" i="13"/>
  <c r="AA34" i="3"/>
  <c r="F5" i="4"/>
  <c r="F8" i="4"/>
  <c r="F11" i="4"/>
  <c r="F12" i="4" l="1"/>
  <c r="I11" i="4"/>
  <c r="C44" i="10"/>
  <c r="C45" i="10" s="1"/>
  <c r="B68" i="19"/>
  <c r="B38" i="17"/>
  <c r="D38" i="17" s="1"/>
  <c r="B12" i="19"/>
  <c r="B11" i="10"/>
  <c r="C11" i="10" s="1"/>
  <c r="B46" i="10"/>
  <c r="B341" i="13"/>
  <c r="K75" i="13"/>
  <c r="F13" i="4" l="1"/>
  <c r="I12" i="4"/>
  <c r="C46" i="10"/>
  <c r="B69" i="19"/>
  <c r="C68" i="19"/>
  <c r="B39" i="17"/>
  <c r="D39" i="17" s="1"/>
  <c r="B13" i="19"/>
  <c r="C12" i="19"/>
  <c r="B47" i="10"/>
  <c r="B48" i="10" s="1"/>
  <c r="B49" i="10" s="1"/>
  <c r="B50" i="10" s="1"/>
  <c r="B51" i="10" s="1"/>
  <c r="B52" i="10" s="1"/>
  <c r="B53" i="10" s="1"/>
  <c r="B54" i="10" s="1"/>
  <c r="B55" i="10" s="1"/>
  <c r="B56" i="10" s="1"/>
  <c r="B57" i="10" s="1"/>
  <c r="B58" i="10" s="1"/>
  <c r="B59" i="10" s="1"/>
  <c r="B60" i="10" s="1"/>
  <c r="B12" i="10"/>
  <c r="B342" i="13"/>
  <c r="F14" i="4" l="1"/>
  <c r="I13" i="4"/>
  <c r="B40" i="17"/>
  <c r="D40" i="17" s="1"/>
  <c r="B70" i="19"/>
  <c r="B71" i="19" s="1"/>
  <c r="B72" i="19" s="1"/>
  <c r="B73" i="19" s="1"/>
  <c r="B74" i="19" s="1"/>
  <c r="B75" i="19" s="1"/>
  <c r="B76" i="19" s="1"/>
  <c r="B77" i="19" s="1"/>
  <c r="B78" i="19" s="1"/>
  <c r="B79" i="19" s="1"/>
  <c r="B80" i="19" s="1"/>
  <c r="B81" i="19" s="1"/>
  <c r="B82" i="19" s="1"/>
  <c r="B83" i="19" s="1"/>
  <c r="B84" i="19" s="1"/>
  <c r="B85" i="19" s="1"/>
  <c r="B86" i="19" s="1"/>
  <c r="B87" i="19" s="1"/>
  <c r="B88" i="19" s="1"/>
  <c r="B89" i="19" s="1"/>
  <c r="C69" i="19"/>
  <c r="C47" i="10"/>
  <c r="C48" i="10" s="1"/>
  <c r="C49" i="10" s="1"/>
  <c r="C50" i="10" s="1"/>
  <c r="C51" i="10" s="1"/>
  <c r="C52" i="10" s="1"/>
  <c r="C53" i="10" s="1"/>
  <c r="C54" i="10" s="1"/>
  <c r="C55" i="10" s="1"/>
  <c r="C56" i="10" s="1"/>
  <c r="C57" i="10" s="1"/>
  <c r="C58" i="10" s="1"/>
  <c r="C59" i="10" s="1"/>
  <c r="C60" i="10" s="1"/>
  <c r="C61" i="10" s="1"/>
  <c r="B13" i="10"/>
  <c r="C12" i="10"/>
  <c r="B14" i="19"/>
  <c r="C13" i="19"/>
  <c r="B61" i="10"/>
  <c r="B343" i="13"/>
  <c r="G304" i="13"/>
  <c r="G314" i="13"/>
  <c r="G313" i="13"/>
  <c r="G312" i="13"/>
  <c r="G311" i="13"/>
  <c r="G310" i="13"/>
  <c r="G309" i="13"/>
  <c r="G308" i="13"/>
  <c r="G307" i="13"/>
  <c r="G306" i="13"/>
  <c r="G305" i="13"/>
  <c r="G70" i="13"/>
  <c r="K26" i="13"/>
  <c r="H26" i="13"/>
  <c r="F23" i="13"/>
  <c r="F11" i="13"/>
  <c r="F10" i="13"/>
  <c r="F9" i="13"/>
  <c r="F8" i="13"/>
  <c r="F31" i="7"/>
  <c r="B41" i="17" l="1"/>
  <c r="F15" i="4"/>
  <c r="I14" i="4"/>
  <c r="C70" i="19"/>
  <c r="D41" i="17"/>
  <c r="C71" i="19"/>
  <c r="C72" i="19" s="1"/>
  <c r="C73" i="19" s="1"/>
  <c r="C74" i="19" s="1"/>
  <c r="C75" i="19" s="1"/>
  <c r="C76" i="19" s="1"/>
  <c r="C77" i="19" s="1"/>
  <c r="C78" i="19" s="1"/>
  <c r="C79" i="19" s="1"/>
  <c r="C80" i="19" s="1"/>
  <c r="C81" i="19" s="1"/>
  <c r="C82" i="19" s="1"/>
  <c r="C83" i="19" s="1"/>
  <c r="C84" i="19" s="1"/>
  <c r="C85" i="19" s="1"/>
  <c r="C86" i="19" s="1"/>
  <c r="C87" i="19" s="1"/>
  <c r="C88" i="19" s="1"/>
  <c r="C89" i="19" s="1"/>
  <c r="B15" i="19"/>
  <c r="C14" i="19"/>
  <c r="B14" i="10"/>
  <c r="C13" i="10"/>
  <c r="B62" i="10"/>
  <c r="C62" i="10" s="1"/>
  <c r="B42" i="17"/>
  <c r="D42" i="17" s="1"/>
  <c r="B344" i="13"/>
  <c r="H71" i="13"/>
  <c r="K71" i="13"/>
  <c r="AD32" i="3"/>
  <c r="AH32" i="3" s="1"/>
  <c r="AA32" i="3"/>
  <c r="X32" i="3"/>
  <c r="F16" i="4" l="1"/>
  <c r="I15" i="4"/>
  <c r="B15" i="10"/>
  <c r="C14" i="10"/>
  <c r="B16" i="19"/>
  <c r="C15" i="19"/>
  <c r="J77" i="9"/>
  <c r="O15" i="11" s="1"/>
  <c r="J78" i="9"/>
  <c r="G77" i="9"/>
  <c r="J15" i="11" s="1"/>
  <c r="G78" i="9"/>
  <c r="G54" i="5"/>
  <c r="J76" i="9"/>
  <c r="G76" i="9"/>
  <c r="E54" i="5"/>
  <c r="E25" i="20"/>
  <c r="B63" i="10"/>
  <c r="C63" i="10" s="1"/>
  <c r="X58" i="3"/>
  <c r="G16" i="9"/>
  <c r="G12" i="9"/>
  <c r="B43" i="17"/>
  <c r="D43" i="17" s="1"/>
  <c r="AA58" i="3"/>
  <c r="J16" i="9"/>
  <c r="J12" i="9"/>
  <c r="B345" i="13"/>
  <c r="F17" i="4" l="1"/>
  <c r="I16" i="4"/>
  <c r="B17" i="19"/>
  <c r="C16" i="19"/>
  <c r="B16" i="10"/>
  <c r="C15" i="10"/>
  <c r="N15" i="11"/>
  <c r="M15" i="11"/>
  <c r="L15" i="11"/>
  <c r="G15" i="11"/>
  <c r="H16" i="11"/>
  <c r="I16" i="11"/>
  <c r="J16" i="11"/>
  <c r="G16" i="11"/>
  <c r="H15" i="11"/>
  <c r="I15" i="11"/>
  <c r="L16" i="11"/>
  <c r="O16" i="11"/>
  <c r="N16" i="11"/>
  <c r="M16" i="11"/>
  <c r="I14" i="11"/>
  <c r="H14" i="11"/>
  <c r="J14" i="11"/>
  <c r="G14" i="11"/>
  <c r="L14" i="11"/>
  <c r="O14" i="11"/>
  <c r="N14" i="11"/>
  <c r="M14" i="11"/>
  <c r="B64" i="10"/>
  <c r="C64" i="10" s="1"/>
  <c r="B44" i="17"/>
  <c r="D44" i="17" s="1"/>
  <c r="B346" i="13"/>
  <c r="N165" i="8"/>
  <c r="AF158" i="8"/>
  <c r="AD158" i="8"/>
  <c r="AB158" i="8"/>
  <c r="AK157" i="8"/>
  <c r="AK156" i="8"/>
  <c r="AK155" i="8"/>
  <c r="AK154" i="8"/>
  <c r="AK153" i="8"/>
  <c r="AB142" i="8"/>
  <c r="F293" i="13" s="1"/>
  <c r="AB140" i="8"/>
  <c r="AB138" i="8"/>
  <c r="AC131" i="8"/>
  <c r="AC130" i="8"/>
  <c r="F18" i="4" l="1"/>
  <c r="I17" i="4"/>
  <c r="B17" i="10"/>
  <c r="C16" i="10"/>
  <c r="B18" i="19"/>
  <c r="C17" i="19"/>
  <c r="AH35" i="3"/>
  <c r="AD42" i="3"/>
  <c r="AH42" i="3" s="1"/>
  <c r="E31" i="5"/>
  <c r="C38" i="3"/>
  <c r="C40" i="3"/>
  <c r="C39" i="3"/>
  <c r="C41" i="3"/>
  <c r="C35" i="3"/>
  <c r="I30" i="13"/>
  <c r="F294" i="13"/>
  <c r="F292" i="13"/>
  <c r="F299" i="13"/>
  <c r="K299" i="13" s="1"/>
  <c r="O299" i="13" s="1"/>
  <c r="F298" i="13"/>
  <c r="K298" i="13" s="1"/>
  <c r="O298" i="13" s="1"/>
  <c r="F297" i="13"/>
  <c r="K297" i="13" s="1"/>
  <c r="O297" i="13" s="1"/>
  <c r="O304" i="13"/>
  <c r="O306" i="13"/>
  <c r="O305" i="13"/>
  <c r="M236" i="13"/>
  <c r="M234" i="13"/>
  <c r="M232" i="13"/>
  <c r="M230" i="13"/>
  <c r="B65" i="10"/>
  <c r="C65" i="10" s="1"/>
  <c r="B45" i="17"/>
  <c r="D45" i="17" s="1"/>
  <c r="B347" i="13"/>
  <c r="N57" i="13"/>
  <c r="AK158" i="8"/>
  <c r="AB159" i="8" s="1"/>
  <c r="F296" i="13" s="1"/>
  <c r="B100" i="8"/>
  <c r="B101" i="8" s="1"/>
  <c r="B102" i="8" s="1"/>
  <c r="B103" i="8" s="1"/>
  <c r="B104" i="8" s="1"/>
  <c r="B105" i="8" s="1"/>
  <c r="B106" i="8" s="1"/>
  <c r="B107" i="8" s="1"/>
  <c r="B108" i="8" s="1"/>
  <c r="B109" i="8" s="1"/>
  <c r="B110" i="8" s="1"/>
  <c r="F19" i="4" l="1"/>
  <c r="I18" i="4"/>
  <c r="C18" i="19"/>
  <c r="B19" i="19"/>
  <c r="C17" i="10"/>
  <c r="B18" i="10"/>
  <c r="M273" i="13"/>
  <c r="I116" i="5"/>
  <c r="M272" i="13"/>
  <c r="I115" i="5"/>
  <c r="M271" i="13"/>
  <c r="I114" i="5"/>
  <c r="X49" i="3"/>
  <c r="E34" i="5"/>
  <c r="K296" i="13"/>
  <c r="O296" i="13" s="1"/>
  <c r="L216" i="13"/>
  <c r="M216" i="13" s="1"/>
  <c r="M219" i="13" s="1"/>
  <c r="M228" i="13" s="1"/>
  <c r="X29" i="3"/>
  <c r="H21" i="11"/>
  <c r="M21" i="11"/>
  <c r="I21" i="11"/>
  <c r="N21" i="11"/>
  <c r="O21" i="11"/>
  <c r="J21" i="11"/>
  <c r="B66" i="10"/>
  <c r="C66" i="10" s="1"/>
  <c r="B46" i="17"/>
  <c r="D46" i="17" s="1"/>
  <c r="B348" i="13"/>
  <c r="K60" i="13"/>
  <c r="H60" i="13"/>
  <c r="K42" i="13"/>
  <c r="H42" i="13"/>
  <c r="T39" i="3"/>
  <c r="N40" i="13" s="1"/>
  <c r="I31" i="13"/>
  <c r="L31" i="13"/>
  <c r="J31" i="13"/>
  <c r="M31" i="13"/>
  <c r="M30" i="13"/>
  <c r="L30" i="13"/>
  <c r="J30" i="13"/>
  <c r="H30" i="13" s="1"/>
  <c r="B35" i="3"/>
  <c r="B111" i="8"/>
  <c r="B112" i="8" s="1"/>
  <c r="B113" i="8" s="1"/>
  <c r="B114" i="8" s="1"/>
  <c r="B115" i="8" s="1"/>
  <c r="B116" i="8" s="1"/>
  <c r="B117" i="8" s="1"/>
  <c r="B118" i="8" s="1"/>
  <c r="B119" i="8" s="1"/>
  <c r="B120" i="8" s="1"/>
  <c r="B121" i="8" s="1"/>
  <c r="B122" i="8" s="1"/>
  <c r="F20" i="4" l="1"/>
  <c r="I19" i="4"/>
  <c r="D340" i="13" s="1"/>
  <c r="J33" i="11"/>
  <c r="J32" i="11"/>
  <c r="J34" i="11"/>
  <c r="N34" i="11"/>
  <c r="N32" i="11"/>
  <c r="N33" i="11"/>
  <c r="H34" i="11"/>
  <c r="H32" i="11"/>
  <c r="H33" i="11"/>
  <c r="I33" i="11"/>
  <c r="I34" i="11"/>
  <c r="I32" i="11"/>
  <c r="O33" i="11"/>
  <c r="O32" i="11"/>
  <c r="O34" i="11"/>
  <c r="M33" i="11"/>
  <c r="M34" i="11"/>
  <c r="M32" i="11"/>
  <c r="B20" i="19"/>
  <c r="C19" i="19"/>
  <c r="B19" i="10"/>
  <c r="C18" i="10"/>
  <c r="E48" i="5"/>
  <c r="I41" i="5"/>
  <c r="E42" i="5"/>
  <c r="G42" i="5"/>
  <c r="I113" i="5"/>
  <c r="G48" i="5"/>
  <c r="M270" i="13"/>
  <c r="D331" i="13"/>
  <c r="C331" i="13"/>
  <c r="C335" i="13"/>
  <c r="D335" i="13"/>
  <c r="D333" i="13"/>
  <c r="C333" i="13"/>
  <c r="C334" i="13"/>
  <c r="D334" i="13"/>
  <c r="C339" i="13"/>
  <c r="D339" i="13"/>
  <c r="D337" i="13"/>
  <c r="C337" i="13"/>
  <c r="C338" i="13"/>
  <c r="D338" i="13"/>
  <c r="D336" i="13"/>
  <c r="C336" i="13"/>
  <c r="D332" i="13"/>
  <c r="C332" i="13"/>
  <c r="N56" i="13"/>
  <c r="H56" i="13" s="1"/>
  <c r="K56" i="13" s="1"/>
  <c r="L21" i="11"/>
  <c r="G21" i="11"/>
  <c r="B47" i="17"/>
  <c r="D47" i="17" s="1"/>
  <c r="B349" i="13"/>
  <c r="H61" i="13"/>
  <c r="X52" i="3"/>
  <c r="K61" i="13"/>
  <c r="AA52" i="3"/>
  <c r="X40" i="3"/>
  <c r="H43" i="13"/>
  <c r="AA40" i="3"/>
  <c r="K43" i="13"/>
  <c r="H31" i="13"/>
  <c r="K31" i="13"/>
  <c r="H41" i="13"/>
  <c r="K41" i="13" s="1"/>
  <c r="K30" i="13"/>
  <c r="AA39" i="3"/>
  <c r="X39" i="3"/>
  <c r="C340" i="13" l="1"/>
  <c r="E140" i="5" s="1"/>
  <c r="F21" i="4"/>
  <c r="I20" i="4"/>
  <c r="G32" i="11"/>
  <c r="G33" i="11"/>
  <c r="G34" i="11"/>
  <c r="L32" i="11"/>
  <c r="L33" i="11"/>
  <c r="L34" i="11"/>
  <c r="B20" i="10"/>
  <c r="C19" i="10"/>
  <c r="B21" i="19"/>
  <c r="C20" i="19"/>
  <c r="E49" i="5"/>
  <c r="E136" i="5"/>
  <c r="E138" i="5"/>
  <c r="E134" i="5"/>
  <c r="E132" i="5"/>
  <c r="E137" i="5"/>
  <c r="E133" i="5"/>
  <c r="E139" i="5"/>
  <c r="E135" i="5"/>
  <c r="E131" i="5"/>
  <c r="G132" i="5"/>
  <c r="C43" i="17"/>
  <c r="G137" i="5"/>
  <c r="G133" i="5"/>
  <c r="G135" i="5"/>
  <c r="AA53" i="3"/>
  <c r="G49" i="5"/>
  <c r="C46" i="17"/>
  <c r="G140" i="5"/>
  <c r="C45" i="17"/>
  <c r="G139" i="5"/>
  <c r="C42" i="17"/>
  <c r="G136" i="5"/>
  <c r="G131" i="5"/>
  <c r="C44" i="17"/>
  <c r="G138" i="5"/>
  <c r="G134" i="5"/>
  <c r="K59" i="13"/>
  <c r="K63" i="13" s="1"/>
  <c r="H59" i="13"/>
  <c r="K29" i="13"/>
  <c r="K28" i="13" s="1"/>
  <c r="G36" i="5" s="1"/>
  <c r="H29" i="13"/>
  <c r="H28" i="13" s="1"/>
  <c r="E36" i="5" s="1"/>
  <c r="H35" i="13"/>
  <c r="K35" i="13"/>
  <c r="K34" i="13"/>
  <c r="H34" i="13"/>
  <c r="K32" i="13"/>
  <c r="M76" i="13" s="1"/>
  <c r="K76" i="13" s="1"/>
  <c r="K77" i="13" s="1"/>
  <c r="H32" i="13"/>
  <c r="J76" i="13" s="1"/>
  <c r="H76" i="13" s="1"/>
  <c r="H77" i="13" s="1"/>
  <c r="H44" i="13"/>
  <c r="H45" i="13" s="1"/>
  <c r="K44" i="13"/>
  <c r="K45" i="13" s="1"/>
  <c r="C14" i="17"/>
  <c r="C13" i="17"/>
  <c r="B48" i="17"/>
  <c r="D48" i="17" s="1"/>
  <c r="B350" i="13"/>
  <c r="X53" i="3"/>
  <c r="D341" i="13" l="1"/>
  <c r="C341" i="13"/>
  <c r="E141" i="5" s="1"/>
  <c r="F22" i="4"/>
  <c r="I21" i="4"/>
  <c r="K64" i="13"/>
  <c r="B22" i="19"/>
  <c r="C21" i="19"/>
  <c r="B21" i="10"/>
  <c r="C20" i="10"/>
  <c r="E57" i="5"/>
  <c r="X61" i="3"/>
  <c r="G57" i="5"/>
  <c r="AA61" i="3"/>
  <c r="E46" i="5"/>
  <c r="G40" i="5"/>
  <c r="E40" i="5"/>
  <c r="E38" i="5"/>
  <c r="E47" i="5"/>
  <c r="G39" i="5"/>
  <c r="G38" i="5"/>
  <c r="G47" i="5"/>
  <c r="E39" i="5"/>
  <c r="G46" i="5"/>
  <c r="G43" i="5"/>
  <c r="E43" i="5"/>
  <c r="H33" i="13"/>
  <c r="K33" i="13"/>
  <c r="K37" i="13"/>
  <c r="H64" i="13"/>
  <c r="AA51" i="3"/>
  <c r="K66" i="13"/>
  <c r="I55" i="13"/>
  <c r="X48" i="3"/>
  <c r="H66" i="13"/>
  <c r="X51" i="3"/>
  <c r="H63" i="13"/>
  <c r="AA48" i="3"/>
  <c r="H38" i="13"/>
  <c r="H37" i="13"/>
  <c r="X38" i="3"/>
  <c r="K38" i="13"/>
  <c r="AA38" i="3"/>
  <c r="K80" i="13" s="1"/>
  <c r="AA41" i="3"/>
  <c r="X36" i="3"/>
  <c r="H39" i="13"/>
  <c r="AA37" i="3"/>
  <c r="K78" i="13" s="1"/>
  <c r="X41" i="3"/>
  <c r="AA36" i="3"/>
  <c r="K39" i="13"/>
  <c r="X37" i="3"/>
  <c r="H78" i="13" s="1"/>
  <c r="C15" i="17"/>
  <c r="B49" i="17"/>
  <c r="D49" i="17" s="1"/>
  <c r="B351" i="13"/>
  <c r="C37" i="17" s="1"/>
  <c r="X35" i="3"/>
  <c r="AD52" i="3"/>
  <c r="AH52" i="3" s="1"/>
  <c r="B361" i="13" s="1"/>
  <c r="AA35" i="3"/>
  <c r="H80" i="13" l="1"/>
  <c r="E59" i="5" s="1"/>
  <c r="G58" i="5"/>
  <c r="AA62" i="3"/>
  <c r="K79" i="13"/>
  <c r="E58" i="5"/>
  <c r="H79" i="13"/>
  <c r="X62" i="3"/>
  <c r="K81" i="13"/>
  <c r="AA63" i="3"/>
  <c r="G59" i="5"/>
  <c r="D342" i="13"/>
  <c r="C342" i="13"/>
  <c r="F23" i="4"/>
  <c r="I22" i="4"/>
  <c r="C47" i="17"/>
  <c r="G141" i="5"/>
  <c r="B22" i="10"/>
  <c r="C21" i="10"/>
  <c r="B23" i="19"/>
  <c r="C22" i="19"/>
  <c r="C10" i="20"/>
  <c r="B13" i="5"/>
  <c r="C16" i="17"/>
  <c r="C8" i="17"/>
  <c r="G52" i="5"/>
  <c r="E51" i="5"/>
  <c r="E52" i="5"/>
  <c r="G51" i="5"/>
  <c r="H62" i="13"/>
  <c r="K62" i="13"/>
  <c r="K36" i="13"/>
  <c r="K48" i="13" s="1"/>
  <c r="L55" i="13"/>
  <c r="I58" i="13"/>
  <c r="X47" i="3"/>
  <c r="H36" i="13"/>
  <c r="H48" i="13" s="1"/>
  <c r="C17" i="17"/>
  <c r="B50" i="17"/>
  <c r="D50" i="17" s="1"/>
  <c r="B352" i="13"/>
  <c r="X63" i="3" l="1"/>
  <c r="H81" i="13"/>
  <c r="E142" i="5"/>
  <c r="F24" i="4"/>
  <c r="I23" i="4"/>
  <c r="D343" i="13"/>
  <c r="C343" i="13"/>
  <c r="E143" i="5" s="1"/>
  <c r="G142" i="5"/>
  <c r="C48" i="17"/>
  <c r="B24" i="19"/>
  <c r="C23" i="19"/>
  <c r="B23" i="10"/>
  <c r="C22" i="10"/>
  <c r="K49" i="13"/>
  <c r="G50" i="5"/>
  <c r="E45" i="5"/>
  <c r="E50" i="5"/>
  <c r="K47" i="13"/>
  <c r="X50" i="3"/>
  <c r="H198" i="13"/>
  <c r="G198" i="13"/>
  <c r="F198" i="13"/>
  <c r="L58" i="13"/>
  <c r="AA47" i="3"/>
  <c r="H49" i="13"/>
  <c r="H47" i="13"/>
  <c r="C18" i="17"/>
  <c r="B51" i="17"/>
  <c r="D51" i="17" s="1"/>
  <c r="B353" i="13"/>
  <c r="G143" i="5" l="1"/>
  <c r="C49" i="17"/>
  <c r="D344" i="13"/>
  <c r="C344" i="13"/>
  <c r="E144" i="5" s="1"/>
  <c r="F25" i="4"/>
  <c r="I24" i="4"/>
  <c r="N198" i="13"/>
  <c r="L198" i="13"/>
  <c r="M198" i="13"/>
  <c r="M197" i="13" s="1"/>
  <c r="B24" i="10"/>
  <c r="C23" i="10"/>
  <c r="B25" i="19"/>
  <c r="C24" i="19"/>
  <c r="F197" i="13"/>
  <c r="AE18" i="17" s="1"/>
  <c r="F196" i="13"/>
  <c r="G196" i="13"/>
  <c r="G197" i="13"/>
  <c r="AF18" i="17" s="1"/>
  <c r="G195" i="13"/>
  <c r="C41" i="17"/>
  <c r="C9" i="17"/>
  <c r="C10" i="17"/>
  <c r="C39" i="17"/>
  <c r="C38" i="17"/>
  <c r="C40" i="17"/>
  <c r="K46" i="13"/>
  <c r="G45" i="5"/>
  <c r="AA50" i="3"/>
  <c r="N58" i="13"/>
  <c r="E198" i="13"/>
  <c r="I59" i="13"/>
  <c r="H196" i="13"/>
  <c r="H197" i="13"/>
  <c r="AG18" i="17" s="1"/>
  <c r="H46" i="13"/>
  <c r="B359" i="13" s="1"/>
  <c r="C19" i="17"/>
  <c r="B52" i="17"/>
  <c r="D52" i="17" s="1"/>
  <c r="B354" i="13"/>
  <c r="K53" i="13" l="1"/>
  <c r="D359" i="13"/>
  <c r="C21" i="17"/>
  <c r="AE21" i="17" s="1"/>
  <c r="D345" i="13"/>
  <c r="C345" i="13"/>
  <c r="F26" i="4"/>
  <c r="I25" i="4"/>
  <c r="G144" i="5"/>
  <c r="C50" i="17"/>
  <c r="F195" i="13"/>
  <c r="S15" i="17" s="1"/>
  <c r="M196" i="13"/>
  <c r="Z37" i="17" s="1"/>
  <c r="M195" i="13"/>
  <c r="L196" i="13"/>
  <c r="Y47" i="17" s="1"/>
  <c r="L59" i="13"/>
  <c r="N59" i="13" s="1"/>
  <c r="K198" i="13"/>
  <c r="L197" i="13"/>
  <c r="AE47" i="17" s="1"/>
  <c r="N196" i="13"/>
  <c r="N197" i="13"/>
  <c r="AG40" i="17" s="1"/>
  <c r="B26" i="19"/>
  <c r="C25" i="19"/>
  <c r="B25" i="10"/>
  <c r="C24" i="10"/>
  <c r="Y18" i="17"/>
  <c r="Z18" i="17"/>
  <c r="G194" i="13"/>
  <c r="N19" i="17" s="1"/>
  <c r="AA18" i="17"/>
  <c r="H195" i="13"/>
  <c r="H194" i="13" s="1"/>
  <c r="O18" i="17" s="1"/>
  <c r="T18" i="17"/>
  <c r="K52" i="13"/>
  <c r="C12" i="17"/>
  <c r="AA12" i="17" s="1"/>
  <c r="C11" i="17"/>
  <c r="AF11" i="17" s="1"/>
  <c r="AA42" i="3"/>
  <c r="K51" i="13"/>
  <c r="J13" i="9"/>
  <c r="G37" i="5"/>
  <c r="E20" i="20"/>
  <c r="E37" i="5"/>
  <c r="I45" i="5"/>
  <c r="G13" i="9"/>
  <c r="H53" i="13"/>
  <c r="H51" i="13"/>
  <c r="H52" i="13"/>
  <c r="AA13" i="17"/>
  <c r="AA14" i="17"/>
  <c r="AA8" i="17"/>
  <c r="AA16" i="17"/>
  <c r="AA10" i="17"/>
  <c r="AA15" i="17"/>
  <c r="AA9" i="17"/>
  <c r="AA17" i="17"/>
  <c r="AF9" i="17"/>
  <c r="AF16" i="17"/>
  <c r="AF17" i="17"/>
  <c r="AF14" i="17"/>
  <c r="AF10" i="17"/>
  <c r="AF13" i="17"/>
  <c r="AF8" i="17"/>
  <c r="AF15" i="17"/>
  <c r="D198" i="13"/>
  <c r="E196" i="13"/>
  <c r="I196" i="13" s="1"/>
  <c r="E197" i="13"/>
  <c r="I197" i="13" s="1"/>
  <c r="AE14" i="17"/>
  <c r="AE15" i="17"/>
  <c r="AE13" i="17"/>
  <c r="AE8" i="17"/>
  <c r="AE10" i="17"/>
  <c r="AE16" i="17"/>
  <c r="AE9" i="17"/>
  <c r="AE17" i="17"/>
  <c r="AG13" i="17"/>
  <c r="AG10" i="17"/>
  <c r="AG8" i="17"/>
  <c r="AG14" i="17"/>
  <c r="AG16" i="17"/>
  <c r="AG15" i="17"/>
  <c r="AG9" i="17"/>
  <c r="AG17" i="17"/>
  <c r="Z14" i="17"/>
  <c r="Z15" i="17"/>
  <c r="Z13" i="17"/>
  <c r="Z9" i="17"/>
  <c r="Z10" i="17"/>
  <c r="Z16" i="17"/>
  <c r="Z8" i="17"/>
  <c r="Z17" i="17"/>
  <c r="T9" i="17"/>
  <c r="T13" i="17"/>
  <c r="T10" i="17"/>
  <c r="T8" i="17"/>
  <c r="T16" i="17"/>
  <c r="T14" i="17"/>
  <c r="T15" i="17"/>
  <c r="T17" i="17"/>
  <c r="Y10" i="17"/>
  <c r="Y16" i="17"/>
  <c r="Y9" i="17"/>
  <c r="Y14" i="17"/>
  <c r="Y8" i="17"/>
  <c r="Y15" i="17"/>
  <c r="Y13" i="17"/>
  <c r="Y17" i="17"/>
  <c r="AF37" i="17"/>
  <c r="AF39" i="17"/>
  <c r="AF41" i="17"/>
  <c r="AF43" i="17"/>
  <c r="AF45" i="17"/>
  <c r="AF47" i="17"/>
  <c r="AF38" i="17"/>
  <c r="AF40" i="17"/>
  <c r="AF42" i="17"/>
  <c r="AF44" i="17"/>
  <c r="AF46" i="17"/>
  <c r="X42" i="3"/>
  <c r="C20" i="17"/>
  <c r="AG19" i="17"/>
  <c r="AA19" i="17"/>
  <c r="Y19" i="17"/>
  <c r="AE19" i="17"/>
  <c r="T19" i="17"/>
  <c r="Z19" i="17"/>
  <c r="AF19" i="17"/>
  <c r="AF48" i="17"/>
  <c r="B53" i="17"/>
  <c r="D53" i="17" s="1"/>
  <c r="AF21" i="17" l="1"/>
  <c r="J14" i="9"/>
  <c r="J74" i="9" s="1"/>
  <c r="G14" i="9"/>
  <c r="G72" i="9" s="1"/>
  <c r="Z21" i="17"/>
  <c r="T21" i="17"/>
  <c r="AA21" i="17"/>
  <c r="AG21" i="17"/>
  <c r="AD21" i="17"/>
  <c r="Y21" i="17"/>
  <c r="D346" i="13"/>
  <c r="C346" i="13"/>
  <c r="F27" i="4"/>
  <c r="I26" i="4"/>
  <c r="E145" i="5"/>
  <c r="C22" i="17"/>
  <c r="O22" i="17" s="1"/>
  <c r="G145" i="5"/>
  <c r="C51" i="17"/>
  <c r="AF51" i="17" s="1"/>
  <c r="F194" i="13"/>
  <c r="M18" i="17" s="1"/>
  <c r="S18" i="17"/>
  <c r="E195" i="13"/>
  <c r="L195" i="13"/>
  <c r="N195" i="13"/>
  <c r="U37" i="17" s="1"/>
  <c r="Z46" i="17"/>
  <c r="Z44" i="17"/>
  <c r="Z47" i="17"/>
  <c r="Z42" i="17"/>
  <c r="Z48" i="17"/>
  <c r="Z45" i="17"/>
  <c r="Z41" i="17"/>
  <c r="Z39" i="17"/>
  <c r="Z40" i="17"/>
  <c r="Z43" i="17"/>
  <c r="Z38" i="17"/>
  <c r="M194" i="13"/>
  <c r="N48" i="17" s="1"/>
  <c r="J198" i="13"/>
  <c r="K196" i="13"/>
  <c r="Y46" i="17"/>
  <c r="Y48" i="17"/>
  <c r="Y45" i="17"/>
  <c r="Y39" i="17"/>
  <c r="Y40" i="17"/>
  <c r="Y43" i="17"/>
  <c r="Y37" i="17"/>
  <c r="Y38" i="17"/>
  <c r="Y41" i="17"/>
  <c r="AG46" i="17"/>
  <c r="AG45" i="17"/>
  <c r="Y44" i="17"/>
  <c r="AG41" i="17"/>
  <c r="AG42" i="17"/>
  <c r="AG38" i="17"/>
  <c r="AG37" i="17"/>
  <c r="AG48" i="17"/>
  <c r="Y42" i="17"/>
  <c r="AG43" i="17"/>
  <c r="K197" i="13"/>
  <c r="AG44" i="17"/>
  <c r="AG39" i="17"/>
  <c r="AG47" i="17"/>
  <c r="AE39" i="17"/>
  <c r="AE44" i="17"/>
  <c r="AE46" i="17"/>
  <c r="AE42" i="17"/>
  <c r="AE37" i="17"/>
  <c r="AE41" i="17"/>
  <c r="AE40" i="17"/>
  <c r="AE38" i="17"/>
  <c r="AE48" i="17"/>
  <c r="AE45" i="17"/>
  <c r="AE43" i="17"/>
  <c r="AA40" i="17"/>
  <c r="AA37" i="17"/>
  <c r="AA41" i="17"/>
  <c r="AA42" i="17"/>
  <c r="AA43" i="17"/>
  <c r="AA46" i="17"/>
  <c r="AA39" i="17"/>
  <c r="AA45" i="17"/>
  <c r="AA48" i="17"/>
  <c r="AA38" i="17"/>
  <c r="AA47" i="17"/>
  <c r="AA44" i="17"/>
  <c r="B26" i="10"/>
  <c r="C25" i="10"/>
  <c r="B27" i="19"/>
  <c r="C26" i="19"/>
  <c r="K50" i="13"/>
  <c r="AA43" i="3" s="1"/>
  <c r="U21" i="17"/>
  <c r="U18" i="17"/>
  <c r="I18" i="17" s="1"/>
  <c r="U10" i="17"/>
  <c r="U15" i="17"/>
  <c r="T42" i="17"/>
  <c r="T41" i="17"/>
  <c r="U13" i="17"/>
  <c r="U19" i="17"/>
  <c r="T39" i="17"/>
  <c r="U17" i="17"/>
  <c r="T46" i="17"/>
  <c r="U16" i="17"/>
  <c r="U14" i="17"/>
  <c r="T44" i="17"/>
  <c r="U8" i="17"/>
  <c r="U9" i="17"/>
  <c r="X19" i="17"/>
  <c r="W19" i="17" s="1"/>
  <c r="T37" i="17"/>
  <c r="T47" i="17"/>
  <c r="T40" i="17"/>
  <c r="T45" i="17"/>
  <c r="T38" i="17"/>
  <c r="T48" i="17"/>
  <c r="T43" i="17"/>
  <c r="S9" i="17"/>
  <c r="S10" i="17"/>
  <c r="S16" i="17"/>
  <c r="S8" i="17"/>
  <c r="S21" i="17"/>
  <c r="S14" i="17"/>
  <c r="S19" i="17"/>
  <c r="S17" i="17"/>
  <c r="S13" i="17"/>
  <c r="E21" i="20"/>
  <c r="U12" i="17"/>
  <c r="Y11" i="17"/>
  <c r="AE12" i="17"/>
  <c r="AA11" i="17"/>
  <c r="U11" i="17"/>
  <c r="Y12" i="17"/>
  <c r="T12" i="17"/>
  <c r="AE11" i="17"/>
  <c r="AG11" i="17"/>
  <c r="T11" i="17"/>
  <c r="Z11" i="17"/>
  <c r="S12" i="17"/>
  <c r="AF12" i="17"/>
  <c r="AG12" i="17"/>
  <c r="Z12" i="17"/>
  <c r="S11" i="17"/>
  <c r="G74" i="9"/>
  <c r="AD19" i="17"/>
  <c r="N21" i="17"/>
  <c r="X21" i="17"/>
  <c r="O15" i="17"/>
  <c r="O10" i="17"/>
  <c r="O16" i="17"/>
  <c r="O9" i="17"/>
  <c r="O19" i="17"/>
  <c r="O17" i="17"/>
  <c r="O21" i="17"/>
  <c r="O12" i="17"/>
  <c r="O11" i="17"/>
  <c r="O14" i="17"/>
  <c r="O8" i="17"/>
  <c r="O13" i="17"/>
  <c r="H50" i="13"/>
  <c r="X13" i="17"/>
  <c r="X11" i="17"/>
  <c r="X16" i="17"/>
  <c r="D196" i="13"/>
  <c r="X10" i="17"/>
  <c r="X8" i="17"/>
  <c r="X9" i="17"/>
  <c r="X15" i="17"/>
  <c r="X17" i="17"/>
  <c r="X12" i="17"/>
  <c r="X14" i="17"/>
  <c r="X18" i="17"/>
  <c r="N10" i="17"/>
  <c r="N14" i="17"/>
  <c r="N18" i="17"/>
  <c r="N12" i="17"/>
  <c r="N11" i="17"/>
  <c r="N9" i="17"/>
  <c r="N15" i="17"/>
  <c r="N17" i="17"/>
  <c r="N13" i="17"/>
  <c r="N8" i="17"/>
  <c r="N16" i="17"/>
  <c r="AH20" i="17"/>
  <c r="AD14" i="17"/>
  <c r="AD17" i="17"/>
  <c r="D197" i="13"/>
  <c r="AD13" i="17"/>
  <c r="AD9" i="17"/>
  <c r="AD11" i="17"/>
  <c r="AD12" i="17"/>
  <c r="AD16" i="17"/>
  <c r="AD18" i="17"/>
  <c r="AD8" i="17"/>
  <c r="AD10" i="17"/>
  <c r="AD15" i="17"/>
  <c r="H19" i="17"/>
  <c r="U20" i="17"/>
  <c r="S20" i="17"/>
  <c r="Z20" i="17"/>
  <c r="T20" i="17"/>
  <c r="O20" i="17"/>
  <c r="AE20" i="17"/>
  <c r="Y20" i="17"/>
  <c r="AF20" i="17"/>
  <c r="AA20" i="17"/>
  <c r="AG20" i="17"/>
  <c r="N20" i="17"/>
  <c r="X20" i="17"/>
  <c r="AD20" i="17"/>
  <c r="AF49" i="17"/>
  <c r="AG49" i="17"/>
  <c r="T49" i="17"/>
  <c r="Y49" i="17"/>
  <c r="AE49" i="17"/>
  <c r="AA49" i="17"/>
  <c r="Z49" i="17"/>
  <c r="AF50" i="17"/>
  <c r="AE50" i="17"/>
  <c r="Z50" i="17"/>
  <c r="AG50" i="17"/>
  <c r="T50" i="17"/>
  <c r="Y50" i="17"/>
  <c r="AA50" i="17"/>
  <c r="B54" i="17"/>
  <c r="D54" i="17" s="1"/>
  <c r="U22" i="17" l="1"/>
  <c r="S22" i="17"/>
  <c r="X22" i="17"/>
  <c r="E89" i="5"/>
  <c r="AC21" i="17"/>
  <c r="AD22" i="17"/>
  <c r="N22" i="17"/>
  <c r="G73" i="9"/>
  <c r="I11" i="11" s="1"/>
  <c r="G89" i="5"/>
  <c r="J73" i="9"/>
  <c r="O11" i="11" s="1"/>
  <c r="AD48" i="17"/>
  <c r="AC48" i="17" s="1"/>
  <c r="O197" i="13"/>
  <c r="AH49" i="17" s="1"/>
  <c r="X48" i="17"/>
  <c r="W48" i="17" s="1"/>
  <c r="O196" i="13"/>
  <c r="AB50" i="17" s="1"/>
  <c r="R10" i="17"/>
  <c r="Q10" i="17" s="1"/>
  <c r="I195" i="13"/>
  <c r="E194" i="13"/>
  <c r="L18" i="17" s="1"/>
  <c r="M14" i="17"/>
  <c r="G14" i="17" s="1"/>
  <c r="AA51" i="17"/>
  <c r="T51" i="17"/>
  <c r="AG51" i="17"/>
  <c r="AE51" i="17"/>
  <c r="Y51" i="17"/>
  <c r="Z22" i="17"/>
  <c r="AE22" i="17"/>
  <c r="AA22" i="17"/>
  <c r="AG22" i="17"/>
  <c r="AF22" i="17"/>
  <c r="Y22" i="17"/>
  <c r="T22" i="17"/>
  <c r="C347" i="13"/>
  <c r="D347" i="13"/>
  <c r="F28" i="4"/>
  <c r="I27" i="4"/>
  <c r="E146" i="5"/>
  <c r="C23" i="17"/>
  <c r="AB23" i="17" s="1"/>
  <c r="Z51" i="17"/>
  <c r="G146" i="5"/>
  <c r="C52" i="17"/>
  <c r="N52" i="17" s="1"/>
  <c r="G18" i="17"/>
  <c r="M12" i="17"/>
  <c r="G12" i="17" s="1"/>
  <c r="M8" i="17"/>
  <c r="G8" i="17" s="1"/>
  <c r="R12" i="17"/>
  <c r="Q12" i="17" s="1"/>
  <c r="M20" i="17"/>
  <c r="G20" i="17" s="1"/>
  <c r="M9" i="17"/>
  <c r="G9" i="17" s="1"/>
  <c r="M10" i="17"/>
  <c r="G10" i="17" s="1"/>
  <c r="M16" i="17"/>
  <c r="G16" i="17" s="1"/>
  <c r="M22" i="17"/>
  <c r="M21" i="17"/>
  <c r="G21" i="17" s="1"/>
  <c r="R16" i="17"/>
  <c r="Q16" i="17" s="1"/>
  <c r="R22" i="17"/>
  <c r="D195" i="13"/>
  <c r="D194" i="13" s="1"/>
  <c r="H73" i="13" s="1"/>
  <c r="X60" i="3" s="1"/>
  <c r="E56" i="5" s="1"/>
  <c r="M15" i="17"/>
  <c r="G15" i="17" s="1"/>
  <c r="R18" i="17"/>
  <c r="Q18" i="17" s="1"/>
  <c r="M11" i="17"/>
  <c r="G11" i="17" s="1"/>
  <c r="M19" i="17"/>
  <c r="G19" i="17" s="1"/>
  <c r="M17" i="17"/>
  <c r="G17" i="17" s="1"/>
  <c r="M13" i="17"/>
  <c r="G13" i="17" s="1"/>
  <c r="I12" i="11"/>
  <c r="H12" i="11"/>
  <c r="G12" i="11"/>
  <c r="J12" i="11"/>
  <c r="G96" i="5"/>
  <c r="L12" i="11"/>
  <c r="N12" i="11"/>
  <c r="M12" i="11"/>
  <c r="O12" i="11"/>
  <c r="H10" i="11"/>
  <c r="J10" i="11"/>
  <c r="I10" i="11"/>
  <c r="G10" i="11"/>
  <c r="K195" i="13"/>
  <c r="N45" i="17"/>
  <c r="H45" i="17" s="1"/>
  <c r="N43" i="17"/>
  <c r="H43" i="17" s="1"/>
  <c r="N40" i="17"/>
  <c r="H40" i="17" s="1"/>
  <c r="H48" i="17"/>
  <c r="N38" i="17"/>
  <c r="H38" i="17" s="1"/>
  <c r="N50" i="17"/>
  <c r="H50" i="17" s="1"/>
  <c r="N49" i="17"/>
  <c r="H49" i="17" s="1"/>
  <c r="N47" i="17"/>
  <c r="H47" i="17" s="1"/>
  <c r="N46" i="17"/>
  <c r="H46" i="17" s="1"/>
  <c r="N41" i="17"/>
  <c r="H41" i="17" s="1"/>
  <c r="N44" i="17"/>
  <c r="H44" i="17" s="1"/>
  <c r="N39" i="17"/>
  <c r="H39" i="17" s="1"/>
  <c r="N51" i="17"/>
  <c r="N42" i="17"/>
  <c r="H42" i="17" s="1"/>
  <c r="N37" i="17"/>
  <c r="H37" i="17" s="1"/>
  <c r="AD46" i="17"/>
  <c r="AC46" i="17" s="1"/>
  <c r="AD39" i="17"/>
  <c r="AC39" i="17" s="1"/>
  <c r="AD41" i="17"/>
  <c r="AC41" i="17" s="1"/>
  <c r="AD44" i="17"/>
  <c r="AC44" i="17" s="1"/>
  <c r="U44" i="17"/>
  <c r="AD43" i="17"/>
  <c r="AC43" i="17" s="1"/>
  <c r="U45" i="17"/>
  <c r="U42" i="17"/>
  <c r="U46" i="17"/>
  <c r="U47" i="17"/>
  <c r="AD40" i="17"/>
  <c r="AC40" i="17" s="1"/>
  <c r="AD45" i="17"/>
  <c r="AC45" i="17" s="1"/>
  <c r="AD51" i="17"/>
  <c r="AD50" i="17"/>
  <c r="AC50" i="17" s="1"/>
  <c r="U50" i="17"/>
  <c r="AD37" i="17"/>
  <c r="AC37" i="17" s="1"/>
  <c r="U48" i="17"/>
  <c r="U39" i="17"/>
  <c r="U49" i="17"/>
  <c r="AD38" i="17"/>
  <c r="AC38" i="17" s="1"/>
  <c r="U38" i="17"/>
  <c r="AD42" i="17"/>
  <c r="AC42" i="17" s="1"/>
  <c r="AD49" i="17"/>
  <c r="AC49" i="17" s="1"/>
  <c r="J197" i="13"/>
  <c r="J189" i="13" s="1"/>
  <c r="U51" i="17"/>
  <c r="U40" i="17"/>
  <c r="AD47" i="17"/>
  <c r="AC47" i="17" s="1"/>
  <c r="N194" i="13"/>
  <c r="O41" i="17" s="1"/>
  <c r="U43" i="17"/>
  <c r="U41" i="17"/>
  <c r="L194" i="13"/>
  <c r="S50" i="17"/>
  <c r="S49" i="17"/>
  <c r="S45" i="17"/>
  <c r="S44" i="17"/>
  <c r="S47" i="17"/>
  <c r="S37" i="17"/>
  <c r="S43" i="17"/>
  <c r="S41" i="17"/>
  <c r="S38" i="17"/>
  <c r="S40" i="17"/>
  <c r="S42" i="17"/>
  <c r="S46" i="17"/>
  <c r="S51" i="17"/>
  <c r="S39" i="17"/>
  <c r="S48" i="17"/>
  <c r="J196" i="13"/>
  <c r="J188" i="13" s="1"/>
  <c r="X47" i="17"/>
  <c r="W47" i="17" s="1"/>
  <c r="X40" i="17"/>
  <c r="W40" i="17" s="1"/>
  <c r="X43" i="17"/>
  <c r="W43" i="17" s="1"/>
  <c r="X38" i="17"/>
  <c r="W38" i="17" s="1"/>
  <c r="X51" i="17"/>
  <c r="X46" i="17"/>
  <c r="W46" i="17" s="1"/>
  <c r="X41" i="17"/>
  <c r="W41" i="17" s="1"/>
  <c r="X49" i="17"/>
  <c r="W49" i="17" s="1"/>
  <c r="X44" i="17"/>
  <c r="W44" i="17" s="1"/>
  <c r="X42" i="17"/>
  <c r="W42" i="17" s="1"/>
  <c r="X39" i="17"/>
  <c r="W39" i="17" s="1"/>
  <c r="X45" i="17"/>
  <c r="W45" i="17" s="1"/>
  <c r="X50" i="17"/>
  <c r="W50" i="17" s="1"/>
  <c r="X37" i="17"/>
  <c r="W37" i="17" s="1"/>
  <c r="B28" i="19"/>
  <c r="C27" i="19"/>
  <c r="B27" i="10"/>
  <c r="C26" i="10"/>
  <c r="J9" i="9"/>
  <c r="G44" i="5" s="1"/>
  <c r="J7" i="9"/>
  <c r="R19" i="17"/>
  <c r="Q19" i="17" s="1"/>
  <c r="R17" i="17"/>
  <c r="Q17" i="17" s="1"/>
  <c r="R14" i="17"/>
  <c r="Q14" i="17" s="1"/>
  <c r="R20" i="17"/>
  <c r="Q20" i="17" s="1"/>
  <c r="R8" i="17"/>
  <c r="Q8" i="17" s="1"/>
  <c r="R13" i="17"/>
  <c r="Q13" i="17" s="1"/>
  <c r="R21" i="17"/>
  <c r="Q21" i="17" s="1"/>
  <c r="R9" i="17"/>
  <c r="Q9" i="17" s="1"/>
  <c r="R15" i="17"/>
  <c r="Q15" i="17" s="1"/>
  <c r="R11" i="17"/>
  <c r="Q11" i="17" s="1"/>
  <c r="I21" i="17"/>
  <c r="W21" i="17"/>
  <c r="W14" i="17"/>
  <c r="H18" i="17"/>
  <c r="W18" i="17"/>
  <c r="H8" i="17"/>
  <c r="W16" i="17"/>
  <c r="H14" i="17"/>
  <c r="H16" i="17"/>
  <c r="I13" i="17"/>
  <c r="I9" i="17"/>
  <c r="H21" i="17"/>
  <c r="H10" i="17"/>
  <c r="W15" i="17"/>
  <c r="I10" i="17"/>
  <c r="AC8" i="17"/>
  <c r="AC17" i="17"/>
  <c r="H9" i="17"/>
  <c r="W9" i="17"/>
  <c r="AC10" i="17"/>
  <c r="H15" i="17"/>
  <c r="AC18" i="17"/>
  <c r="AC14" i="17"/>
  <c r="W8" i="17"/>
  <c r="I17" i="17"/>
  <c r="AC19" i="17"/>
  <c r="H13" i="17"/>
  <c r="I8" i="17"/>
  <c r="AC16" i="17"/>
  <c r="W10" i="17"/>
  <c r="I19" i="17"/>
  <c r="I15" i="17"/>
  <c r="AC9" i="17"/>
  <c r="I16" i="17"/>
  <c r="AC15" i="17"/>
  <c r="AC13" i="17"/>
  <c r="H17" i="17"/>
  <c r="W17" i="17"/>
  <c r="W13" i="17"/>
  <c r="I14" i="17"/>
  <c r="X43" i="3"/>
  <c r="W12" i="17"/>
  <c r="W11" i="17"/>
  <c r="H11" i="17"/>
  <c r="H12" i="17"/>
  <c r="I11" i="17"/>
  <c r="AC12" i="17"/>
  <c r="I12" i="17"/>
  <c r="AC11" i="17"/>
  <c r="E96" i="5"/>
  <c r="E94" i="5"/>
  <c r="G7" i="9"/>
  <c r="G9" i="9"/>
  <c r="AB20" i="17"/>
  <c r="D189" i="13"/>
  <c r="AH21" i="17"/>
  <c r="AH13" i="17"/>
  <c r="AH12" i="17"/>
  <c r="AH16" i="17"/>
  <c r="AH8" i="17"/>
  <c r="AH9" i="17"/>
  <c r="AH14" i="17"/>
  <c r="AH15" i="17"/>
  <c r="AH17" i="17"/>
  <c r="AH19" i="17"/>
  <c r="AH11" i="17"/>
  <c r="AH10" i="17"/>
  <c r="AH18" i="17"/>
  <c r="AH22" i="17"/>
  <c r="D188" i="13"/>
  <c r="AB16" i="17"/>
  <c r="AB21" i="17"/>
  <c r="AB17" i="17"/>
  <c r="AB8" i="17"/>
  <c r="AB10" i="17"/>
  <c r="AB13" i="17"/>
  <c r="AB22" i="17"/>
  <c r="AB14" i="17"/>
  <c r="AB11" i="17"/>
  <c r="AB12" i="17"/>
  <c r="AB19" i="17"/>
  <c r="AB18" i="17"/>
  <c r="AB15" i="17"/>
  <c r="AB9" i="17"/>
  <c r="AC20" i="17"/>
  <c r="W20" i="17"/>
  <c r="H20" i="17"/>
  <c r="I20" i="17"/>
  <c r="B55" i="17"/>
  <c r="D55" i="17" s="1"/>
  <c r="N11" i="11" l="1"/>
  <c r="L11" i="17"/>
  <c r="K11" i="17" s="1"/>
  <c r="E11" i="17" s="1"/>
  <c r="E95" i="5"/>
  <c r="J11" i="11"/>
  <c r="L14" i="17"/>
  <c r="K14" i="17" s="1"/>
  <c r="E14" i="17" s="1"/>
  <c r="G11" i="11"/>
  <c r="H11" i="11"/>
  <c r="G95" i="5"/>
  <c r="L11" i="11"/>
  <c r="AH23" i="17"/>
  <c r="AC51" i="17"/>
  <c r="W22" i="17"/>
  <c r="M11" i="11"/>
  <c r="AC22" i="17"/>
  <c r="W51" i="17"/>
  <c r="R23" i="17"/>
  <c r="Q22" i="17"/>
  <c r="R50" i="17"/>
  <c r="Q50" i="17" s="1"/>
  <c r="O195" i="13"/>
  <c r="V49" i="17" s="1"/>
  <c r="L20" i="17"/>
  <c r="K20" i="17" s="1"/>
  <c r="E20" i="17" s="1"/>
  <c r="I194" i="13"/>
  <c r="P10" i="17" s="1"/>
  <c r="L10" i="17"/>
  <c r="F10" i="17" s="1"/>
  <c r="L21" i="17"/>
  <c r="K21" i="17" s="1"/>
  <c r="E21" i="17" s="1"/>
  <c r="L23" i="17"/>
  <c r="L13" i="17"/>
  <c r="F13" i="17" s="1"/>
  <c r="L12" i="17"/>
  <c r="F12" i="17" s="1"/>
  <c r="L19" i="17"/>
  <c r="K19" i="17" s="1"/>
  <c r="E19" i="17" s="1"/>
  <c r="L22" i="17"/>
  <c r="K22" i="17" s="1"/>
  <c r="L9" i="17"/>
  <c r="F9" i="17" s="1"/>
  <c r="L8" i="17"/>
  <c r="F8" i="17" s="1"/>
  <c r="L15" i="17"/>
  <c r="F15" i="17" s="1"/>
  <c r="L17" i="17"/>
  <c r="F17" i="17" s="1"/>
  <c r="L16" i="17"/>
  <c r="K16" i="17" s="1"/>
  <c r="E16" i="17" s="1"/>
  <c r="U52" i="17"/>
  <c r="H22" i="17"/>
  <c r="AD52" i="17"/>
  <c r="X52" i="17"/>
  <c r="I22" i="17"/>
  <c r="H51" i="17"/>
  <c r="G22" i="17"/>
  <c r="V23" i="17"/>
  <c r="X23" i="17"/>
  <c r="T23" i="17"/>
  <c r="AG23" i="17"/>
  <c r="U23" i="17"/>
  <c r="AF23" i="17"/>
  <c r="AD23" i="17"/>
  <c r="O23" i="17"/>
  <c r="Z23" i="17"/>
  <c r="S23" i="17"/>
  <c r="AA23" i="17"/>
  <c r="AE23" i="17"/>
  <c r="N23" i="17"/>
  <c r="Y23" i="17"/>
  <c r="C348" i="13"/>
  <c r="D348" i="13"/>
  <c r="F29" i="4"/>
  <c r="I28" i="4"/>
  <c r="G147" i="5"/>
  <c r="C53" i="17"/>
  <c r="AH53" i="17" s="1"/>
  <c r="M23" i="17"/>
  <c r="AE52" i="17"/>
  <c r="AF52" i="17"/>
  <c r="AA52" i="17"/>
  <c r="Z52" i="17"/>
  <c r="T52" i="17"/>
  <c r="AG52" i="17"/>
  <c r="Y52" i="17"/>
  <c r="E147" i="5"/>
  <c r="C24" i="17"/>
  <c r="V24" i="17" s="1"/>
  <c r="S52" i="17"/>
  <c r="V20" i="17"/>
  <c r="V19" i="17"/>
  <c r="V21" i="17"/>
  <c r="V11" i="17"/>
  <c r="V13" i="17"/>
  <c r="V12" i="17"/>
  <c r="V16" i="17"/>
  <c r="V22" i="17"/>
  <c r="V8" i="17"/>
  <c r="V17" i="17"/>
  <c r="V10" i="17"/>
  <c r="V14" i="17"/>
  <c r="V18" i="17"/>
  <c r="V9" i="17"/>
  <c r="V15" i="17"/>
  <c r="D187" i="13"/>
  <c r="I41" i="17"/>
  <c r="AH48" i="17"/>
  <c r="AH38" i="17"/>
  <c r="AH43" i="17"/>
  <c r="AH52" i="17"/>
  <c r="AH39" i="17"/>
  <c r="O46" i="17"/>
  <c r="I46" i="17" s="1"/>
  <c r="O48" i="17"/>
  <c r="I48" i="17" s="1"/>
  <c r="AH37" i="17"/>
  <c r="AH46" i="17"/>
  <c r="O51" i="17"/>
  <c r="I51" i="17" s="1"/>
  <c r="O50" i="17"/>
  <c r="I50" i="17" s="1"/>
  <c r="AH41" i="17"/>
  <c r="AH50" i="17"/>
  <c r="AH51" i="17"/>
  <c r="AH44" i="17"/>
  <c r="O52" i="17"/>
  <c r="AH47" i="17"/>
  <c r="AH42" i="17"/>
  <c r="O40" i="17"/>
  <c r="I40" i="17" s="1"/>
  <c r="AH45" i="17"/>
  <c r="AH40" i="17"/>
  <c r="O42" i="17"/>
  <c r="I42" i="17" s="1"/>
  <c r="O47" i="17"/>
  <c r="I47" i="17" s="1"/>
  <c r="O37" i="17"/>
  <c r="I37" i="17" s="1"/>
  <c r="K194" i="13"/>
  <c r="O49" i="17"/>
  <c r="I49" i="17" s="1"/>
  <c r="O45" i="17"/>
  <c r="I45" i="17" s="1"/>
  <c r="O43" i="17"/>
  <c r="I43" i="17" s="1"/>
  <c r="O44" i="17"/>
  <c r="I44" i="17" s="1"/>
  <c r="O39" i="17"/>
  <c r="I39" i="17" s="1"/>
  <c r="O38" i="17"/>
  <c r="I38" i="17" s="1"/>
  <c r="AB37" i="17"/>
  <c r="AB40" i="17"/>
  <c r="AB38" i="17"/>
  <c r="M40" i="17"/>
  <c r="G40" i="17" s="1"/>
  <c r="M41" i="17"/>
  <c r="G41" i="17" s="1"/>
  <c r="M49" i="17"/>
  <c r="G49" i="17" s="1"/>
  <c r="M37" i="17"/>
  <c r="G37" i="17" s="1"/>
  <c r="M44" i="17"/>
  <c r="G44" i="17" s="1"/>
  <c r="M42" i="17"/>
  <c r="G42" i="17" s="1"/>
  <c r="M39" i="17"/>
  <c r="G39" i="17" s="1"/>
  <c r="M50" i="17"/>
  <c r="G50" i="17" s="1"/>
  <c r="M45" i="17"/>
  <c r="G45" i="17" s="1"/>
  <c r="M46" i="17"/>
  <c r="G46" i="17" s="1"/>
  <c r="M48" i="17"/>
  <c r="G48" i="17" s="1"/>
  <c r="M52" i="17"/>
  <c r="M51" i="17"/>
  <c r="G51" i="17" s="1"/>
  <c r="M38" i="17"/>
  <c r="G38" i="17" s="1"/>
  <c r="M47" i="17"/>
  <c r="G47" i="17" s="1"/>
  <c r="M43" i="17"/>
  <c r="G43" i="17" s="1"/>
  <c r="AB43" i="17"/>
  <c r="AB41" i="17"/>
  <c r="AB39" i="17"/>
  <c r="R43" i="17"/>
  <c r="Q43" i="17" s="1"/>
  <c r="R45" i="17"/>
  <c r="Q45" i="17" s="1"/>
  <c r="R42" i="17"/>
  <c r="Q42" i="17" s="1"/>
  <c r="AB48" i="17"/>
  <c r="R44" i="17"/>
  <c r="Q44" i="17" s="1"/>
  <c r="R37" i="17"/>
  <c r="Q37" i="17" s="1"/>
  <c r="R51" i="17"/>
  <c r="Q51" i="17" s="1"/>
  <c r="R52" i="17"/>
  <c r="AB51" i="17"/>
  <c r="AB46" i="17"/>
  <c r="AB49" i="17"/>
  <c r="J195" i="13"/>
  <c r="J187" i="13" s="1"/>
  <c r="R41" i="17"/>
  <c r="Q41" i="17" s="1"/>
  <c r="R47" i="17"/>
  <c r="Q47" i="17" s="1"/>
  <c r="AB52" i="17"/>
  <c r="AB47" i="17"/>
  <c r="AB44" i="17"/>
  <c r="R48" i="17"/>
  <c r="Q48" i="17" s="1"/>
  <c r="R46" i="17"/>
  <c r="Q46" i="17" s="1"/>
  <c r="R39" i="17"/>
  <c r="Q39" i="17" s="1"/>
  <c r="R40" i="17"/>
  <c r="Q40" i="17" s="1"/>
  <c r="AB45" i="17"/>
  <c r="AB42" i="17"/>
  <c r="R38" i="17"/>
  <c r="Q38" i="17" s="1"/>
  <c r="R49" i="17"/>
  <c r="Q49" i="17" s="1"/>
  <c r="C27" i="10"/>
  <c r="B28" i="10"/>
  <c r="B29" i="19"/>
  <c r="C28" i="19"/>
  <c r="E44" i="5"/>
  <c r="I44" i="5" s="1"/>
  <c r="E204" i="13"/>
  <c r="G204" i="13" s="1"/>
  <c r="E203" i="13"/>
  <c r="G203" i="13" s="1"/>
  <c r="E202" i="13"/>
  <c r="G202" i="13" s="1"/>
  <c r="E201" i="13"/>
  <c r="G201" i="13" s="1"/>
  <c r="F11" i="17"/>
  <c r="F18" i="17"/>
  <c r="K18" i="17"/>
  <c r="E18" i="17" s="1"/>
  <c r="E212" i="13"/>
  <c r="E211" i="13"/>
  <c r="E210" i="13"/>
  <c r="E209" i="13"/>
  <c r="D186" i="13"/>
  <c r="B56" i="17"/>
  <c r="D56" i="17" s="1"/>
  <c r="K15" i="17" l="1"/>
  <c r="E15" i="17" s="1"/>
  <c r="K10" i="17"/>
  <c r="E10" i="17" s="1"/>
  <c r="F14" i="17"/>
  <c r="P16" i="17"/>
  <c r="K12" i="17"/>
  <c r="E12" i="17" s="1"/>
  <c r="F20" i="17"/>
  <c r="K23" i="17"/>
  <c r="F21" i="17"/>
  <c r="K17" i="17"/>
  <c r="E17" i="17" s="1"/>
  <c r="Q52" i="17"/>
  <c r="F22" i="17"/>
  <c r="E22" i="17"/>
  <c r="F19" i="17"/>
  <c r="P14" i="17"/>
  <c r="J14" i="17" s="1"/>
  <c r="P17" i="17"/>
  <c r="J17" i="17" s="1"/>
  <c r="P12" i="17"/>
  <c r="J12" i="17" s="1"/>
  <c r="P8" i="17"/>
  <c r="J8" i="17" s="1"/>
  <c r="P23" i="17"/>
  <c r="J23" i="17" s="1"/>
  <c r="P11" i="17"/>
  <c r="J11" i="17" s="1"/>
  <c r="P22" i="17"/>
  <c r="J22" i="17" s="1"/>
  <c r="K9" i="17"/>
  <c r="E9" i="17" s="1"/>
  <c r="P21" i="17"/>
  <c r="J21" i="17" s="1"/>
  <c r="P20" i="17"/>
  <c r="J20" i="17" s="1"/>
  <c r="P19" i="17"/>
  <c r="J19" i="17" s="1"/>
  <c r="P15" i="17"/>
  <c r="J15" i="17" s="1"/>
  <c r="P13" i="17"/>
  <c r="J13" i="17" s="1"/>
  <c r="I198" i="13"/>
  <c r="P18" i="17"/>
  <c r="J18" i="17" s="1"/>
  <c r="K13" i="17"/>
  <c r="E13" i="17" s="1"/>
  <c r="F16" i="17"/>
  <c r="K8" i="17"/>
  <c r="E8" i="17" s="1"/>
  <c r="P9" i="17"/>
  <c r="J9" i="17" s="1"/>
  <c r="L49" i="17"/>
  <c r="F49" i="17" s="1"/>
  <c r="O194" i="13"/>
  <c r="P50" i="17" s="1"/>
  <c r="AC23" i="17"/>
  <c r="Q23" i="17"/>
  <c r="W23" i="17"/>
  <c r="W52" i="17"/>
  <c r="AC52" i="17"/>
  <c r="P24" i="17"/>
  <c r="R53" i="17"/>
  <c r="G52" i="17"/>
  <c r="AB53" i="17"/>
  <c r="G23" i="17"/>
  <c r="I52" i="17"/>
  <c r="O53" i="17"/>
  <c r="M53" i="17"/>
  <c r="I23" i="17"/>
  <c r="H23" i="17"/>
  <c r="F23" i="17"/>
  <c r="H52" i="17"/>
  <c r="G148" i="5"/>
  <c r="C54" i="17"/>
  <c r="V54" i="17" s="1"/>
  <c r="E148" i="5"/>
  <c r="C25" i="17"/>
  <c r="Y24" i="17"/>
  <c r="M24" i="17"/>
  <c r="AF24" i="17"/>
  <c r="AB24" i="17"/>
  <c r="L24" i="17"/>
  <c r="U24" i="17"/>
  <c r="X24" i="17"/>
  <c r="O24" i="17"/>
  <c r="AE24" i="17"/>
  <c r="AA24" i="17"/>
  <c r="AD24" i="17"/>
  <c r="AG24" i="17"/>
  <c r="T24" i="17"/>
  <c r="R24" i="17"/>
  <c r="N24" i="17"/>
  <c r="Z24" i="17"/>
  <c r="AH24" i="17"/>
  <c r="S24" i="17"/>
  <c r="U53" i="17"/>
  <c r="AF53" i="17"/>
  <c r="AD53" i="17"/>
  <c r="AE53" i="17"/>
  <c r="T53" i="17"/>
  <c r="AA53" i="17"/>
  <c r="Z53" i="17"/>
  <c r="AG53" i="17"/>
  <c r="X53" i="17"/>
  <c r="S53" i="17"/>
  <c r="N53" i="17"/>
  <c r="Y53" i="17"/>
  <c r="C349" i="13"/>
  <c r="D349" i="13"/>
  <c r="F30" i="4"/>
  <c r="I29" i="4"/>
  <c r="V44" i="17"/>
  <c r="L39" i="17"/>
  <c r="F39" i="17" s="1"/>
  <c r="L40" i="17"/>
  <c r="K40" i="17" s="1"/>
  <c r="E40" i="17" s="1"/>
  <c r="L51" i="17"/>
  <c r="F51" i="17" s="1"/>
  <c r="L44" i="17"/>
  <c r="K44" i="17" s="1"/>
  <c r="E44" i="17" s="1"/>
  <c r="L43" i="17"/>
  <c r="K43" i="17" s="1"/>
  <c r="E43" i="17" s="1"/>
  <c r="L41" i="17"/>
  <c r="F41" i="17" s="1"/>
  <c r="L38" i="17"/>
  <c r="K38" i="17" s="1"/>
  <c r="E38" i="17" s="1"/>
  <c r="L53" i="17"/>
  <c r="L45" i="17"/>
  <c r="F45" i="17" s="1"/>
  <c r="L48" i="17"/>
  <c r="K48" i="17" s="1"/>
  <c r="E48" i="17" s="1"/>
  <c r="L46" i="17"/>
  <c r="K46" i="17" s="1"/>
  <c r="E46" i="17" s="1"/>
  <c r="L50" i="17"/>
  <c r="K50" i="17" s="1"/>
  <c r="E50" i="17" s="1"/>
  <c r="L47" i="17"/>
  <c r="K47" i="17" s="1"/>
  <c r="E47" i="17" s="1"/>
  <c r="L42" i="17"/>
  <c r="F42" i="17" s="1"/>
  <c r="L52" i="17"/>
  <c r="K52" i="17" s="1"/>
  <c r="L37" i="17"/>
  <c r="K37" i="17" s="1"/>
  <c r="E37" i="17" s="1"/>
  <c r="V41" i="17"/>
  <c r="V52" i="17"/>
  <c r="J194" i="13"/>
  <c r="K73" i="13" s="1"/>
  <c r="AA60" i="3" s="1"/>
  <c r="G56" i="5" s="1"/>
  <c r="V45" i="17"/>
  <c r="V47" i="17"/>
  <c r="V53" i="17"/>
  <c r="V37" i="17"/>
  <c r="V48" i="17"/>
  <c r="V51" i="17"/>
  <c r="V43" i="17"/>
  <c r="V46" i="17"/>
  <c r="V38" i="17"/>
  <c r="V40" i="17"/>
  <c r="V39" i="17"/>
  <c r="V50" i="17"/>
  <c r="V42" i="17"/>
  <c r="B30" i="19"/>
  <c r="C29" i="19"/>
  <c r="C28" i="10"/>
  <c r="B29" i="10"/>
  <c r="J16" i="17"/>
  <c r="J10" i="17"/>
  <c r="G206" i="13"/>
  <c r="B57" i="17"/>
  <c r="D57" i="17" s="1"/>
  <c r="E52" i="17" l="1"/>
  <c r="K49" i="17"/>
  <c r="E49" i="17" s="1"/>
  <c r="E23" i="17"/>
  <c r="AC24" i="17"/>
  <c r="K53" i="17"/>
  <c r="Q24" i="17"/>
  <c r="W53" i="17"/>
  <c r="Q53" i="17"/>
  <c r="W24" i="17"/>
  <c r="AC53" i="17"/>
  <c r="J24" i="17"/>
  <c r="L54" i="17"/>
  <c r="I53" i="17"/>
  <c r="C350" i="13"/>
  <c r="D350" i="13"/>
  <c r="F31" i="4"/>
  <c r="I30" i="4"/>
  <c r="G24" i="17"/>
  <c r="G149" i="5"/>
  <c r="C55" i="17"/>
  <c r="P55" i="17" s="1"/>
  <c r="E149" i="5"/>
  <c r="C26" i="17"/>
  <c r="I24" i="17"/>
  <c r="AD25" i="17"/>
  <c r="O25" i="17"/>
  <c r="N25" i="17"/>
  <c r="T25" i="17"/>
  <c r="AG25" i="17"/>
  <c r="AF25" i="17"/>
  <c r="M25" i="17"/>
  <c r="AA25" i="17"/>
  <c r="AH25" i="17"/>
  <c r="Y25" i="17"/>
  <c r="AB25" i="17"/>
  <c r="P25" i="17"/>
  <c r="S25" i="17"/>
  <c r="Z25" i="17"/>
  <c r="L25" i="17"/>
  <c r="AE25" i="17"/>
  <c r="V25" i="17"/>
  <c r="R25" i="17"/>
  <c r="U25" i="17"/>
  <c r="X25" i="17"/>
  <c r="H24" i="17"/>
  <c r="H53" i="17"/>
  <c r="AG54" i="17"/>
  <c r="T54" i="17"/>
  <c r="Y54" i="17"/>
  <c r="X54" i="17"/>
  <c r="AA54" i="17"/>
  <c r="AE54" i="17"/>
  <c r="AH54" i="17"/>
  <c r="N54" i="17"/>
  <c r="S54" i="17"/>
  <c r="R54" i="17"/>
  <c r="Z54" i="17"/>
  <c r="M54" i="17"/>
  <c r="AD54" i="17"/>
  <c r="AB54" i="17"/>
  <c r="U54" i="17"/>
  <c r="AF54" i="17"/>
  <c r="O54" i="17"/>
  <c r="G53" i="17"/>
  <c r="F24" i="17"/>
  <c r="K24" i="17"/>
  <c r="K203" i="13"/>
  <c r="M203" i="13" s="1"/>
  <c r="F48" i="17"/>
  <c r="F40" i="17"/>
  <c r="K51" i="17"/>
  <c r="E51" i="17" s="1"/>
  <c r="K42" i="17"/>
  <c r="E42" i="17" s="1"/>
  <c r="F50" i="17"/>
  <c r="F44" i="17"/>
  <c r="F43" i="17"/>
  <c r="F52" i="17"/>
  <c r="F37" i="17"/>
  <c r="F46" i="17"/>
  <c r="F38" i="17"/>
  <c r="O198" i="13"/>
  <c r="P49" i="17"/>
  <c r="J49" i="17" s="1"/>
  <c r="P38" i="17"/>
  <c r="J38" i="17" s="1"/>
  <c r="P41" i="17"/>
  <c r="J41" i="17" s="1"/>
  <c r="P44" i="17"/>
  <c r="J44" i="17" s="1"/>
  <c r="K39" i="17"/>
  <c r="E39" i="17" s="1"/>
  <c r="K45" i="17"/>
  <c r="E45" i="17" s="1"/>
  <c r="P39" i="17"/>
  <c r="J39" i="17" s="1"/>
  <c r="F47" i="17"/>
  <c r="P52" i="17"/>
  <c r="J52" i="17" s="1"/>
  <c r="F53" i="17"/>
  <c r="P53" i="17"/>
  <c r="J53" i="17" s="1"/>
  <c r="P48" i="17"/>
  <c r="J48" i="17" s="1"/>
  <c r="P46" i="17"/>
  <c r="J46" i="17" s="1"/>
  <c r="K41" i="17"/>
  <c r="E41" i="17" s="1"/>
  <c r="P42" i="17"/>
  <c r="J42" i="17" s="1"/>
  <c r="P51" i="17"/>
  <c r="J51" i="17" s="1"/>
  <c r="P45" i="17"/>
  <c r="J45" i="17" s="1"/>
  <c r="P37" i="17"/>
  <c r="J37" i="17" s="1"/>
  <c r="P43" i="17"/>
  <c r="J43" i="17" s="1"/>
  <c r="P40" i="17"/>
  <c r="J40" i="17" s="1"/>
  <c r="P47" i="17"/>
  <c r="J47" i="17" s="1"/>
  <c r="P54" i="17"/>
  <c r="J50" i="17"/>
  <c r="K209" i="13"/>
  <c r="K212" i="13"/>
  <c r="J186" i="13"/>
  <c r="K204" i="13"/>
  <c r="M204" i="13" s="1"/>
  <c r="K202" i="13"/>
  <c r="M202" i="13" s="1"/>
  <c r="K201" i="13"/>
  <c r="M201" i="13" s="1"/>
  <c r="K210" i="13"/>
  <c r="K211" i="13"/>
  <c r="C29" i="10"/>
  <c r="B30" i="10"/>
  <c r="B31" i="19"/>
  <c r="C30" i="19"/>
  <c r="B58" i="17"/>
  <c r="D58" i="17" s="1"/>
  <c r="E53" i="17" l="1"/>
  <c r="E24" i="17"/>
  <c r="K54" i="17"/>
  <c r="AC54" i="17"/>
  <c r="W25" i="17"/>
  <c r="W54" i="17"/>
  <c r="Q25" i="17"/>
  <c r="Q54" i="17"/>
  <c r="AC25" i="17"/>
  <c r="J25" i="17"/>
  <c r="F54" i="17"/>
  <c r="G54" i="17"/>
  <c r="H25" i="17"/>
  <c r="I25" i="17"/>
  <c r="C351" i="13"/>
  <c r="D351" i="13"/>
  <c r="F32" i="4"/>
  <c r="I31" i="4"/>
  <c r="J54" i="17"/>
  <c r="I54" i="17"/>
  <c r="G150" i="5"/>
  <c r="C56" i="17"/>
  <c r="AE55" i="17"/>
  <c r="X55" i="17"/>
  <c r="V55" i="17"/>
  <c r="AF55" i="17"/>
  <c r="AH55" i="17"/>
  <c r="AB55" i="17"/>
  <c r="AG55" i="17"/>
  <c r="U55" i="17"/>
  <c r="N55" i="17"/>
  <c r="S55" i="17"/>
  <c r="AD55" i="17"/>
  <c r="O55" i="17"/>
  <c r="R55" i="17"/>
  <c r="M55" i="17"/>
  <c r="Y55" i="17"/>
  <c r="AA55" i="17"/>
  <c r="L55" i="17"/>
  <c r="T55" i="17"/>
  <c r="Z55" i="17"/>
  <c r="H54" i="17"/>
  <c r="K25" i="17"/>
  <c r="F25" i="17"/>
  <c r="G25" i="17"/>
  <c r="AG26" i="17"/>
  <c r="O26" i="17"/>
  <c r="P26" i="17"/>
  <c r="AF26" i="17"/>
  <c r="S26" i="17"/>
  <c r="L26" i="17"/>
  <c r="AH26" i="17"/>
  <c r="Z26" i="17"/>
  <c r="U26" i="17"/>
  <c r="AE26" i="17"/>
  <c r="AD26" i="17"/>
  <c r="AA26" i="17"/>
  <c r="T26" i="17"/>
  <c r="M26" i="17"/>
  <c r="Y26" i="17"/>
  <c r="AB26" i="17"/>
  <c r="V26" i="17"/>
  <c r="X26" i="17"/>
  <c r="R26" i="17"/>
  <c r="N26" i="17"/>
  <c r="E150" i="5"/>
  <c r="C27" i="17"/>
  <c r="M206" i="13"/>
  <c r="B32" i="19"/>
  <c r="C31" i="19"/>
  <c r="C30" i="10"/>
  <c r="B31" i="10"/>
  <c r="B59" i="17"/>
  <c r="D59" i="17" s="1"/>
  <c r="Q26" i="17" l="1"/>
  <c r="E25" i="17"/>
  <c r="AC26" i="17"/>
  <c r="W55" i="17"/>
  <c r="E54" i="17"/>
  <c r="W26" i="17"/>
  <c r="AC55" i="17"/>
  <c r="Q55" i="17"/>
  <c r="I55" i="17"/>
  <c r="J26" i="17"/>
  <c r="J55" i="17"/>
  <c r="H26" i="17"/>
  <c r="C352" i="13"/>
  <c r="D352" i="13"/>
  <c r="G151" i="5"/>
  <c r="C57" i="17"/>
  <c r="I26" i="17"/>
  <c r="K55" i="17"/>
  <c r="F55" i="17"/>
  <c r="H55" i="17"/>
  <c r="E151" i="5"/>
  <c r="C28" i="17"/>
  <c r="Z56" i="17"/>
  <c r="Y56" i="17"/>
  <c r="L56" i="17"/>
  <c r="AH56" i="17"/>
  <c r="N56" i="17"/>
  <c r="AG56" i="17"/>
  <c r="P56" i="17"/>
  <c r="AB56" i="17"/>
  <c r="AF56" i="17"/>
  <c r="M56" i="17"/>
  <c r="R56" i="17"/>
  <c r="U56" i="17"/>
  <c r="S56" i="17"/>
  <c r="X56" i="17"/>
  <c r="O56" i="17"/>
  <c r="AA56" i="17"/>
  <c r="AE56" i="17"/>
  <c r="AD56" i="17"/>
  <c r="T56" i="17"/>
  <c r="V56" i="17"/>
  <c r="F33" i="4"/>
  <c r="I33" i="4" s="1"/>
  <c r="I32" i="4"/>
  <c r="G55" i="17"/>
  <c r="S27" i="17"/>
  <c r="AE27" i="17"/>
  <c r="AB27" i="17"/>
  <c r="N27" i="17"/>
  <c r="Y27" i="17"/>
  <c r="AA27" i="17"/>
  <c r="AF27" i="17"/>
  <c r="O27" i="17"/>
  <c r="P27" i="17"/>
  <c r="V27" i="17"/>
  <c r="Z27" i="17"/>
  <c r="R27" i="17"/>
  <c r="L27" i="17"/>
  <c r="AH27" i="17"/>
  <c r="T27" i="17"/>
  <c r="M27" i="17"/>
  <c r="AG27" i="17"/>
  <c r="X27" i="17"/>
  <c r="AD27" i="17"/>
  <c r="U27" i="17"/>
  <c r="G26" i="17"/>
  <c r="K26" i="17"/>
  <c r="F26" i="17"/>
  <c r="C31" i="10"/>
  <c r="B32" i="10"/>
  <c r="C32" i="10" s="1"/>
  <c r="B33" i="19"/>
  <c r="C32" i="19"/>
  <c r="B60" i="17"/>
  <c r="D60" i="17" s="1"/>
  <c r="E26" i="17" l="1"/>
  <c r="AC56" i="17"/>
  <c r="W56" i="17"/>
  <c r="I34" i="4"/>
  <c r="E55" i="17"/>
  <c r="Q27" i="17"/>
  <c r="Q56" i="17"/>
  <c r="AC27" i="17"/>
  <c r="W27" i="17"/>
  <c r="C353" i="13"/>
  <c r="D353" i="13"/>
  <c r="C354" i="13"/>
  <c r="D354" i="13"/>
  <c r="C60" i="17" s="1"/>
  <c r="H56" i="17"/>
  <c r="F27" i="17"/>
  <c r="K27" i="17"/>
  <c r="H27" i="17"/>
  <c r="K56" i="17"/>
  <c r="F56" i="17"/>
  <c r="G56" i="17"/>
  <c r="L57" i="17"/>
  <c r="R57" i="17"/>
  <c r="AG57" i="17"/>
  <c r="O57" i="17"/>
  <c r="V57" i="17"/>
  <c r="X57" i="17"/>
  <c r="AE57" i="17"/>
  <c r="AD57" i="17"/>
  <c r="AB57" i="17"/>
  <c r="Z57" i="17"/>
  <c r="T57" i="17"/>
  <c r="S57" i="17"/>
  <c r="P57" i="17"/>
  <c r="M57" i="17"/>
  <c r="AF57" i="17"/>
  <c r="AA57" i="17"/>
  <c r="N57" i="17"/>
  <c r="AH57" i="17"/>
  <c r="U57" i="17"/>
  <c r="Y57" i="17"/>
  <c r="J27" i="17"/>
  <c r="AF28" i="17"/>
  <c r="U28" i="17"/>
  <c r="AE28" i="17"/>
  <c r="S28" i="17"/>
  <c r="AB28" i="17"/>
  <c r="M28" i="17"/>
  <c r="X28" i="17"/>
  <c r="L28" i="17"/>
  <c r="T28" i="17"/>
  <c r="AD28" i="17"/>
  <c r="AA28" i="17"/>
  <c r="Y28" i="17"/>
  <c r="Z28" i="17"/>
  <c r="O28" i="17"/>
  <c r="P28" i="17"/>
  <c r="R28" i="17"/>
  <c r="N28" i="17"/>
  <c r="AG28" i="17"/>
  <c r="V28" i="17"/>
  <c r="AH28" i="17"/>
  <c r="G152" i="5"/>
  <c r="C58" i="17"/>
  <c r="G27" i="17"/>
  <c r="I27" i="17"/>
  <c r="I56" i="17"/>
  <c r="J56" i="17"/>
  <c r="E152" i="5"/>
  <c r="C29" i="17"/>
  <c r="C33" i="19"/>
  <c r="C31" i="17"/>
  <c r="O31" i="17" s="1"/>
  <c r="E27" i="17" l="1"/>
  <c r="Q28" i="17"/>
  <c r="AC57" i="17"/>
  <c r="E56" i="17"/>
  <c r="W28" i="17"/>
  <c r="W57" i="17"/>
  <c r="Q57" i="17"/>
  <c r="G154" i="5"/>
  <c r="D355" i="13"/>
  <c r="E154" i="5"/>
  <c r="C355" i="13"/>
  <c r="AC28" i="17"/>
  <c r="J28" i="17"/>
  <c r="G28" i="17"/>
  <c r="I28" i="17"/>
  <c r="J57" i="17"/>
  <c r="I57" i="17"/>
  <c r="F28" i="17"/>
  <c r="K28" i="17"/>
  <c r="O58" i="17"/>
  <c r="AB58" i="17"/>
  <c r="Y58" i="17"/>
  <c r="AF58" i="17"/>
  <c r="Z58" i="17"/>
  <c r="L58" i="17"/>
  <c r="N58" i="17"/>
  <c r="AH58" i="17"/>
  <c r="X58" i="17"/>
  <c r="T58" i="17"/>
  <c r="V58" i="17"/>
  <c r="AA58" i="17"/>
  <c r="S58" i="17"/>
  <c r="AE58" i="17"/>
  <c r="AD58" i="17"/>
  <c r="P58" i="17"/>
  <c r="M58" i="17"/>
  <c r="U58" i="17"/>
  <c r="R58" i="17"/>
  <c r="AG58" i="17"/>
  <c r="AD29" i="17"/>
  <c r="R29" i="17"/>
  <c r="L29" i="17"/>
  <c r="T29" i="17"/>
  <c r="AG29" i="17"/>
  <c r="AE29" i="17"/>
  <c r="AB29" i="17"/>
  <c r="AA29" i="17"/>
  <c r="AH29" i="17"/>
  <c r="Z29" i="17"/>
  <c r="O29" i="17"/>
  <c r="S29" i="17"/>
  <c r="Y29" i="17"/>
  <c r="V29" i="17"/>
  <c r="X29" i="17"/>
  <c r="AF29" i="17"/>
  <c r="M29" i="17"/>
  <c r="U29" i="17"/>
  <c r="P29" i="17"/>
  <c r="N29" i="17"/>
  <c r="H57" i="17"/>
  <c r="F57" i="17"/>
  <c r="K57" i="17"/>
  <c r="G153" i="5"/>
  <c r="C59" i="17"/>
  <c r="H28" i="17"/>
  <c r="G57" i="17"/>
  <c r="E153" i="5"/>
  <c r="C30" i="17"/>
  <c r="L31" i="17"/>
  <c r="AH31" i="17"/>
  <c r="T31" i="17"/>
  <c r="AE31" i="17"/>
  <c r="M31" i="17"/>
  <c r="Y31" i="17"/>
  <c r="D61" i="17"/>
  <c r="K86" i="13" s="1"/>
  <c r="K83" i="13" s="1"/>
  <c r="S60" i="17"/>
  <c r="X60" i="17"/>
  <c r="L60" i="17"/>
  <c r="Z60" i="17"/>
  <c r="AE60" i="17"/>
  <c r="M60" i="17"/>
  <c r="V60" i="17"/>
  <c r="AB60" i="17"/>
  <c r="AH60" i="17"/>
  <c r="Y60" i="17"/>
  <c r="P60" i="17"/>
  <c r="R60" i="17"/>
  <c r="AG60" i="17"/>
  <c r="N60" i="17"/>
  <c r="AD60" i="17"/>
  <c r="O60" i="17"/>
  <c r="AF60" i="17"/>
  <c r="AA60" i="17"/>
  <c r="U60" i="17"/>
  <c r="T60" i="17"/>
  <c r="S31" i="17"/>
  <c r="R31" i="17"/>
  <c r="Z31" i="17"/>
  <c r="U31" i="17"/>
  <c r="V31" i="17"/>
  <c r="AA31" i="17"/>
  <c r="AF31" i="17"/>
  <c r="AB31" i="17"/>
  <c r="X31" i="17"/>
  <c r="P31" i="17"/>
  <c r="AD31" i="17"/>
  <c r="AG31" i="17"/>
  <c r="N31" i="17"/>
  <c r="D32" i="17"/>
  <c r="K88" i="13" l="1"/>
  <c r="AA68" i="3" s="1"/>
  <c r="E57" i="17"/>
  <c r="J54" i="9"/>
  <c r="J59" i="9" s="1"/>
  <c r="J17" i="9"/>
  <c r="J18" i="9" s="1"/>
  <c r="J22" i="9"/>
  <c r="J27" i="9" s="1"/>
  <c r="J25" i="9"/>
  <c r="J30" i="9" s="1"/>
  <c r="J23" i="9"/>
  <c r="J28" i="9" s="1"/>
  <c r="W58" i="17"/>
  <c r="E28" i="17"/>
  <c r="AC58" i="17"/>
  <c r="Q29" i="17"/>
  <c r="AC29" i="17"/>
  <c r="W29" i="17"/>
  <c r="Q58" i="17"/>
  <c r="G29" i="17"/>
  <c r="K58" i="17"/>
  <c r="F58" i="17"/>
  <c r="AD59" i="17"/>
  <c r="X59" i="17"/>
  <c r="X61" i="17" s="1"/>
  <c r="BC61" i="17" s="1"/>
  <c r="AA59" i="17"/>
  <c r="AA61" i="17" s="1"/>
  <c r="BF61" i="17" s="1"/>
  <c r="BF40" i="17" s="1"/>
  <c r="CK40" i="17" s="1"/>
  <c r="Y59" i="17"/>
  <c r="Y61" i="17" s="1"/>
  <c r="BD61" i="17" s="1"/>
  <c r="BD38" i="17" s="1"/>
  <c r="CI38" i="17" s="1"/>
  <c r="O59" i="17"/>
  <c r="O61" i="17" s="1"/>
  <c r="AT61" i="17" s="1"/>
  <c r="U59" i="17"/>
  <c r="U61" i="17" s="1"/>
  <c r="AZ61" i="17" s="1"/>
  <c r="AZ39" i="17" s="1"/>
  <c r="CE39" i="17" s="1"/>
  <c r="AG59" i="17"/>
  <c r="AG61" i="17" s="1"/>
  <c r="BL61" i="17" s="1"/>
  <c r="BL43" i="17" s="1"/>
  <c r="CQ43" i="17" s="1"/>
  <c r="AH59" i="17"/>
  <c r="AH61" i="17" s="1"/>
  <c r="BM61" i="17" s="1"/>
  <c r="BM49" i="17" s="1"/>
  <c r="CR49" i="17" s="1"/>
  <c r="T59" i="17"/>
  <c r="T61" i="17" s="1"/>
  <c r="AY61" i="17" s="1"/>
  <c r="AY57" i="17" s="1"/>
  <c r="CD57" i="17" s="1"/>
  <c r="L59" i="17"/>
  <c r="L61" i="17" s="1"/>
  <c r="AQ61" i="17" s="1"/>
  <c r="AQ59" i="17" s="1"/>
  <c r="N59" i="17"/>
  <c r="N61" i="17" s="1"/>
  <c r="AS61" i="17" s="1"/>
  <c r="AS56" i="17" s="1"/>
  <c r="BX56" i="17" s="1"/>
  <c r="V59" i="17"/>
  <c r="V61" i="17" s="1"/>
  <c r="BA61" i="17" s="1"/>
  <c r="BA54" i="17" s="1"/>
  <c r="CF54" i="17" s="1"/>
  <c r="AF59" i="17"/>
  <c r="AF61" i="17" s="1"/>
  <c r="BK61" i="17" s="1"/>
  <c r="BK54" i="17" s="1"/>
  <c r="CP54" i="17" s="1"/>
  <c r="S59" i="17"/>
  <c r="S61" i="17" s="1"/>
  <c r="AX61" i="17" s="1"/>
  <c r="AX48" i="17" s="1"/>
  <c r="CC48" i="17" s="1"/>
  <c r="Z59" i="17"/>
  <c r="Z61" i="17" s="1"/>
  <c r="BE61" i="17" s="1"/>
  <c r="BE37" i="17" s="1"/>
  <c r="CJ37" i="17" s="1"/>
  <c r="M59" i="17"/>
  <c r="M61" i="17" s="1"/>
  <c r="AR61" i="17" s="1"/>
  <c r="AR38" i="17" s="1"/>
  <c r="BW38" i="17" s="1"/>
  <c r="AE59" i="17"/>
  <c r="AE61" i="17" s="1"/>
  <c r="BJ61" i="17" s="1"/>
  <c r="BJ51" i="17" s="1"/>
  <c r="CO51" i="17" s="1"/>
  <c r="R59" i="17"/>
  <c r="R61" i="17" s="1"/>
  <c r="AW61" i="17" s="1"/>
  <c r="AB59" i="17"/>
  <c r="AB61" i="17" s="1"/>
  <c r="BG61" i="17" s="1"/>
  <c r="BG37" i="17" s="1"/>
  <c r="CL37" i="17" s="1"/>
  <c r="P59" i="17"/>
  <c r="P61" i="17" s="1"/>
  <c r="AU61" i="17" s="1"/>
  <c r="AE30" i="17"/>
  <c r="AE32" i="17" s="1"/>
  <c r="BJ32" i="17" s="1"/>
  <c r="BJ30" i="17" s="1"/>
  <c r="AD30" i="17"/>
  <c r="AD32" i="17" s="1"/>
  <c r="BI32" i="17" s="1"/>
  <c r="BI20" i="17" s="1"/>
  <c r="CN20" i="17" s="1"/>
  <c r="P30" i="17"/>
  <c r="AF30" i="17"/>
  <c r="AF32" i="17" s="1"/>
  <c r="BK32" i="17" s="1"/>
  <c r="BK20" i="17" s="1"/>
  <c r="CP20" i="17" s="1"/>
  <c r="L30" i="17"/>
  <c r="L32" i="17" s="1"/>
  <c r="AQ32" i="17" s="1"/>
  <c r="AQ13" i="17" s="1"/>
  <c r="BV13" i="17" s="1"/>
  <c r="Z30" i="17"/>
  <c r="Z32" i="17" s="1"/>
  <c r="BE32" i="17" s="1"/>
  <c r="BE29" i="17" s="1"/>
  <c r="CJ29" i="17" s="1"/>
  <c r="U30" i="17"/>
  <c r="U32" i="17" s="1"/>
  <c r="AZ32" i="17" s="1"/>
  <c r="AZ25" i="17" s="1"/>
  <c r="CE25" i="17" s="1"/>
  <c r="S30" i="17"/>
  <c r="S32" i="17" s="1"/>
  <c r="AX32" i="17" s="1"/>
  <c r="AX27" i="17" s="1"/>
  <c r="CC27" i="17" s="1"/>
  <c r="R30" i="17"/>
  <c r="R32" i="17" s="1"/>
  <c r="AW32" i="17" s="1"/>
  <c r="AW19" i="17" s="1"/>
  <c r="CB19" i="17" s="1"/>
  <c r="AB30" i="17"/>
  <c r="AB32" i="17" s="1"/>
  <c r="BG32" i="17" s="1"/>
  <c r="BG27" i="17" s="1"/>
  <c r="CL27" i="17" s="1"/>
  <c r="X30" i="17"/>
  <c r="X32" i="17" s="1"/>
  <c r="BC32" i="17" s="1"/>
  <c r="BC29" i="17" s="1"/>
  <c r="CH29" i="17" s="1"/>
  <c r="AA30" i="17"/>
  <c r="AA32" i="17" s="1"/>
  <c r="BF32" i="17" s="1"/>
  <c r="BF15" i="17" s="1"/>
  <c r="CK15" i="17" s="1"/>
  <c r="M30" i="17"/>
  <c r="M32" i="17" s="1"/>
  <c r="AR32" i="17" s="1"/>
  <c r="AR29" i="17" s="1"/>
  <c r="BW29" i="17" s="1"/>
  <c r="AH30" i="17"/>
  <c r="AH32" i="17" s="1"/>
  <c r="BM32" i="17" s="1"/>
  <c r="BM28" i="17" s="1"/>
  <c r="CR28" i="17" s="1"/>
  <c r="AG30" i="17"/>
  <c r="AG32" i="17" s="1"/>
  <c r="BL32" i="17" s="1"/>
  <c r="BL26" i="17" s="1"/>
  <c r="CQ26" i="17" s="1"/>
  <c r="Y30" i="17"/>
  <c r="Y32" i="17" s="1"/>
  <c r="BD32" i="17" s="1"/>
  <c r="BD26" i="17" s="1"/>
  <c r="CI26" i="17" s="1"/>
  <c r="O30" i="17"/>
  <c r="O32" i="17" s="1"/>
  <c r="AT32" i="17" s="1"/>
  <c r="AT29" i="17" s="1"/>
  <c r="BY29" i="17" s="1"/>
  <c r="T30" i="17"/>
  <c r="T32" i="17" s="1"/>
  <c r="AY32" i="17" s="1"/>
  <c r="AY29" i="17" s="1"/>
  <c r="CD29" i="17" s="1"/>
  <c r="V30" i="17"/>
  <c r="V32" i="17" s="1"/>
  <c r="BA32" i="17" s="1"/>
  <c r="BA25" i="17" s="1"/>
  <c r="CF25" i="17" s="1"/>
  <c r="N30" i="17"/>
  <c r="N32" i="17" s="1"/>
  <c r="AS32" i="17" s="1"/>
  <c r="AS26" i="17" s="1"/>
  <c r="BX26" i="17" s="1"/>
  <c r="G58" i="17"/>
  <c r="I58" i="17"/>
  <c r="H29" i="17"/>
  <c r="J58" i="17"/>
  <c r="J29" i="17"/>
  <c r="I29" i="17"/>
  <c r="K29" i="17"/>
  <c r="F29" i="17"/>
  <c r="H58" i="17"/>
  <c r="W115" i="19"/>
  <c r="Q115" i="19"/>
  <c r="K115" i="19"/>
  <c r="AB115" i="19"/>
  <c r="V115" i="19"/>
  <c r="P115" i="19"/>
  <c r="J115" i="19"/>
  <c r="AK115" i="19"/>
  <c r="AE115" i="19"/>
  <c r="Y115" i="19"/>
  <c r="S115" i="19"/>
  <c r="F115" i="19"/>
  <c r="AI115" i="19"/>
  <c r="AC115" i="19"/>
  <c r="M115" i="19"/>
  <c r="H115" i="19"/>
  <c r="AA115" i="19"/>
  <c r="O115" i="19"/>
  <c r="AJ115" i="19"/>
  <c r="AL115" i="19"/>
  <c r="Z115" i="19"/>
  <c r="N115" i="19"/>
  <c r="AG115" i="19"/>
  <c r="U115" i="19"/>
  <c r="I115" i="19"/>
  <c r="D115" i="19"/>
  <c r="AF115" i="19"/>
  <c r="T115" i="19"/>
  <c r="E115" i="19"/>
  <c r="AD115" i="19"/>
  <c r="G115" i="19"/>
  <c r="R115" i="19"/>
  <c r="AH115" i="19"/>
  <c r="L115" i="19"/>
  <c r="X115" i="19"/>
  <c r="L87" i="13"/>
  <c r="K89" i="13" s="1"/>
  <c r="K90" i="13" s="1"/>
  <c r="H86" i="13"/>
  <c r="H83" i="13" s="1"/>
  <c r="P32" i="17"/>
  <c r="AU32" i="17" s="1"/>
  <c r="AU30" i="17" s="1"/>
  <c r="G63" i="5"/>
  <c r="K31" i="17"/>
  <c r="G31" i="17"/>
  <c r="J60" i="17"/>
  <c r="F60" i="17"/>
  <c r="K60" i="17"/>
  <c r="W60" i="17"/>
  <c r="AC60" i="17"/>
  <c r="AD61" i="17"/>
  <c r="BI61" i="17" s="1"/>
  <c r="Q60" i="17"/>
  <c r="I60" i="17"/>
  <c r="I31" i="17"/>
  <c r="H60" i="17"/>
  <c r="G60" i="17"/>
  <c r="AC31" i="17"/>
  <c r="J31" i="17"/>
  <c r="F31" i="17"/>
  <c r="W31" i="17"/>
  <c r="H31" i="17"/>
  <c r="Q31" i="17"/>
  <c r="M126" i="13"/>
  <c r="J56" i="9" l="1"/>
  <c r="J61" i="9" s="1"/>
  <c r="J45" i="9"/>
  <c r="J50" i="9" s="1"/>
  <c r="G65" i="5"/>
  <c r="J24" i="9"/>
  <c r="J29" i="9" s="1"/>
  <c r="J57" i="9"/>
  <c r="J62" i="9" s="1"/>
  <c r="J43" i="9"/>
  <c r="J48" i="9" s="1"/>
  <c r="J8" i="9"/>
  <c r="J10" i="9"/>
  <c r="G66" i="5" s="1"/>
  <c r="J44" i="9"/>
  <c r="J49" i="9" s="1"/>
  <c r="J55" i="9"/>
  <c r="J60" i="9" s="1"/>
  <c r="J46" i="9"/>
  <c r="J51" i="9" s="1"/>
  <c r="BV59" i="17"/>
  <c r="H88" i="13"/>
  <c r="E65" i="5" s="1"/>
  <c r="AT9" i="17"/>
  <c r="BY9" i="17" s="1"/>
  <c r="AT14" i="17"/>
  <c r="BY14" i="17" s="1"/>
  <c r="AT23" i="17"/>
  <c r="BY23" i="17" s="1"/>
  <c r="AT20" i="17"/>
  <c r="BY20" i="17" s="1"/>
  <c r="AT13" i="17"/>
  <c r="BY13" i="17" s="1"/>
  <c r="AT25" i="17"/>
  <c r="BY25" i="17" s="1"/>
  <c r="AT12" i="17"/>
  <c r="BY12" i="17" s="1"/>
  <c r="AT17" i="17"/>
  <c r="BY17" i="17" s="1"/>
  <c r="AT21" i="17"/>
  <c r="BY21" i="17" s="1"/>
  <c r="AT8" i="17"/>
  <c r="BY8" i="17" s="1"/>
  <c r="AT19" i="17"/>
  <c r="BY19" i="17" s="1"/>
  <c r="AT22" i="17"/>
  <c r="BY22" i="17" s="1"/>
  <c r="AT18" i="17"/>
  <c r="BY18" i="17" s="1"/>
  <c r="AT28" i="17"/>
  <c r="BY28" i="17" s="1"/>
  <c r="AT11" i="17"/>
  <c r="BY11" i="17" s="1"/>
  <c r="AT26" i="17"/>
  <c r="BY26" i="17" s="1"/>
  <c r="AT16" i="17"/>
  <c r="BY16" i="17" s="1"/>
  <c r="AT31" i="17"/>
  <c r="BY31" i="17" s="1"/>
  <c r="AT27" i="17"/>
  <c r="BY27" i="17" s="1"/>
  <c r="AT30" i="17"/>
  <c r="BY30" i="17" s="1"/>
  <c r="AT15" i="17"/>
  <c r="BY15" i="17" s="1"/>
  <c r="AT10" i="17"/>
  <c r="BY10" i="17" s="1"/>
  <c r="AT24" i="17"/>
  <c r="BY24" i="17" s="1"/>
  <c r="X68" i="3"/>
  <c r="G24" i="9"/>
  <c r="G29" i="9" s="1"/>
  <c r="G90" i="5"/>
  <c r="J20" i="9"/>
  <c r="E29" i="17"/>
  <c r="Q59" i="17"/>
  <c r="Q61" i="17" s="1"/>
  <c r="E58" i="17"/>
  <c r="AC30" i="17"/>
  <c r="AC32" i="17" s="1"/>
  <c r="W59" i="17"/>
  <c r="W61" i="17" s="1"/>
  <c r="W30" i="17"/>
  <c r="W32" i="17" s="1"/>
  <c r="Q30" i="17"/>
  <c r="Q32" i="17" s="1"/>
  <c r="AC59" i="17"/>
  <c r="AC61" i="17" s="1"/>
  <c r="BZ30" i="17"/>
  <c r="D31" i="10" s="1"/>
  <c r="F31" i="10" s="1"/>
  <c r="I30" i="17"/>
  <c r="I32" i="17" s="1"/>
  <c r="I59" i="17"/>
  <c r="I61" i="17" s="1"/>
  <c r="J59" i="17"/>
  <c r="J61" i="17" s="1"/>
  <c r="CO30" i="17"/>
  <c r="H59" i="17"/>
  <c r="H61" i="17" s="1"/>
  <c r="F59" i="17"/>
  <c r="F61" i="17" s="1"/>
  <c r="K59" i="17"/>
  <c r="K61" i="17" s="1"/>
  <c r="G30" i="17"/>
  <c r="G32" i="17" s="1"/>
  <c r="K30" i="17"/>
  <c r="K32" i="17" s="1"/>
  <c r="F30" i="17"/>
  <c r="F32" i="17" s="1"/>
  <c r="H30" i="17"/>
  <c r="H32" i="17" s="1"/>
  <c r="G59" i="17"/>
  <c r="G61" i="17" s="1"/>
  <c r="J30" i="17"/>
  <c r="J32" i="17" s="1"/>
  <c r="AL59" i="19"/>
  <c r="X59" i="19"/>
  <c r="U59" i="19"/>
  <c r="R59" i="19"/>
  <c r="AJ59" i="19"/>
  <c r="AG59" i="19"/>
  <c r="AF59" i="19"/>
  <c r="Y59" i="19"/>
  <c r="P59" i="19"/>
  <c r="H59" i="19"/>
  <c r="AE59" i="19"/>
  <c r="O59" i="19"/>
  <c r="AI59" i="19"/>
  <c r="V59" i="19"/>
  <c r="K59" i="19"/>
  <c r="D59" i="19"/>
  <c r="AH59" i="19"/>
  <c r="AB59" i="19"/>
  <c r="T59" i="19"/>
  <c r="AA59" i="19"/>
  <c r="S59" i="19"/>
  <c r="I59" i="19"/>
  <c r="F59" i="19"/>
  <c r="AD59" i="19"/>
  <c r="G59" i="19"/>
  <c r="L59" i="19"/>
  <c r="AC59" i="19"/>
  <c r="M59" i="19"/>
  <c r="J59" i="19"/>
  <c r="W59" i="19"/>
  <c r="Q59" i="19"/>
  <c r="N59" i="19"/>
  <c r="Z59" i="19"/>
  <c r="E59" i="19"/>
  <c r="AK59" i="19"/>
  <c r="AA69" i="3"/>
  <c r="I87" i="13"/>
  <c r="H89" i="13" s="1"/>
  <c r="H90" i="13" s="1"/>
  <c r="E22" i="20"/>
  <c r="C32" i="20" s="1"/>
  <c r="C258" i="5"/>
  <c r="C271" i="5"/>
  <c r="C218" i="5"/>
  <c r="C213" i="5"/>
  <c r="C171" i="5"/>
  <c r="C255" i="5"/>
  <c r="C276" i="5"/>
  <c r="C223" i="5"/>
  <c r="C188" i="5"/>
  <c r="C261" i="5"/>
  <c r="C284" i="5"/>
  <c r="C157" i="5"/>
  <c r="C232" i="5"/>
  <c r="C228" i="5"/>
  <c r="C282" i="5"/>
  <c r="C269" i="5"/>
  <c r="C221" i="5"/>
  <c r="C231" i="5"/>
  <c r="C168" i="5"/>
  <c r="C274" i="5"/>
  <c r="C275" i="5"/>
  <c r="C204" i="5"/>
  <c r="C240" i="5"/>
  <c r="C161" i="5"/>
  <c r="C186" i="5"/>
  <c r="C243" i="5"/>
  <c r="C280" i="5"/>
  <c r="C162" i="5"/>
  <c r="C164" i="5"/>
  <c r="C174" i="5"/>
  <c r="C199" i="5"/>
  <c r="C227" i="5"/>
  <c r="C194" i="5"/>
  <c r="C270" i="5"/>
  <c r="C184" i="5"/>
  <c r="C251" i="5"/>
  <c r="C246" i="5"/>
  <c r="C222" i="5"/>
  <c r="C189" i="5"/>
  <c r="C256" i="5"/>
  <c r="C224" i="5"/>
  <c r="C167" i="5"/>
  <c r="C237" i="5"/>
  <c r="C196" i="5"/>
  <c r="C191" i="5"/>
  <c r="C176" i="5"/>
  <c r="C277" i="5"/>
  <c r="C229" i="5"/>
  <c r="C217" i="5"/>
  <c r="C158" i="5"/>
  <c r="C183" i="5"/>
  <c r="C283" i="5"/>
  <c r="C248" i="5"/>
  <c r="C170" i="5"/>
  <c r="C172" i="5"/>
  <c r="E63" i="5"/>
  <c r="C209" i="5"/>
  <c r="C236" i="5"/>
  <c r="C202" i="5"/>
  <c r="C278" i="5"/>
  <c r="C192" i="5"/>
  <c r="C187" i="5"/>
  <c r="C254" i="5"/>
  <c r="C230" i="5"/>
  <c r="C197" i="5"/>
  <c r="C265" i="5"/>
  <c r="C241" i="5"/>
  <c r="C193" i="5"/>
  <c r="C179" i="5"/>
  <c r="C249" i="5"/>
  <c r="C226" i="5"/>
  <c r="C190" i="5"/>
  <c r="C173" i="5"/>
  <c r="C201" i="5"/>
  <c r="C235" i="5"/>
  <c r="C198" i="5"/>
  <c r="C211" i="5"/>
  <c r="C214" i="5"/>
  <c r="C178" i="5"/>
  <c r="C180" i="5"/>
  <c r="C159" i="5"/>
  <c r="C225" i="5"/>
  <c r="C244" i="5"/>
  <c r="C212" i="5"/>
  <c r="C242" i="5"/>
  <c r="C200" i="5"/>
  <c r="C195" i="5"/>
  <c r="C263" i="5"/>
  <c r="C239" i="5"/>
  <c r="C205" i="5"/>
  <c r="C273" i="5"/>
  <c r="C257" i="5"/>
  <c r="C219" i="5"/>
  <c r="C160" i="5"/>
  <c r="C165" i="5"/>
  <c r="C185" i="5"/>
  <c r="C267" i="5"/>
  <c r="C264" i="5"/>
  <c r="C166" i="5"/>
  <c r="C253" i="5"/>
  <c r="C272" i="5"/>
  <c r="C169" i="5"/>
  <c r="C262" i="5"/>
  <c r="C238" i="5"/>
  <c r="C216" i="5"/>
  <c r="C163" i="5"/>
  <c r="C177" i="5"/>
  <c r="C175" i="5"/>
  <c r="C206" i="5"/>
  <c r="C268" i="5"/>
  <c r="C252" i="5"/>
  <c r="C220" i="5"/>
  <c r="C250" i="5"/>
  <c r="C210" i="5"/>
  <c r="C203" i="5"/>
  <c r="C279" i="5"/>
  <c r="C247" i="5"/>
  <c r="C215" i="5"/>
  <c r="C281" i="5"/>
  <c r="C266" i="5"/>
  <c r="C245" i="5"/>
  <c r="BE23" i="17"/>
  <c r="CJ23" i="17" s="1"/>
  <c r="BE41" i="17"/>
  <c r="CJ41" i="17" s="1"/>
  <c r="BE39" i="17"/>
  <c r="CJ39" i="17" s="1"/>
  <c r="BM12" i="17"/>
  <c r="CR12" i="17" s="1"/>
  <c r="BE53" i="17"/>
  <c r="CJ53" i="17" s="1"/>
  <c r="BE40" i="17"/>
  <c r="CJ40" i="17" s="1"/>
  <c r="BE52" i="17"/>
  <c r="CJ52" i="17" s="1"/>
  <c r="BJ53" i="17"/>
  <c r="CO53" i="17" s="1"/>
  <c r="AQ39" i="17"/>
  <c r="BV39" i="17" s="1"/>
  <c r="AQ40" i="17"/>
  <c r="BV40" i="17" s="1"/>
  <c r="AQ38" i="17"/>
  <c r="BV38" i="17" s="1"/>
  <c r="AQ48" i="17"/>
  <c r="BV48" i="17" s="1"/>
  <c r="AU18" i="17"/>
  <c r="BZ18" i="17" s="1"/>
  <c r="D19" i="10" s="1"/>
  <c r="F19" i="10" s="1"/>
  <c r="AU20" i="17"/>
  <c r="BZ20" i="17" s="1"/>
  <c r="D21" i="10" s="1"/>
  <c r="F21" i="10" s="1"/>
  <c r="AU27" i="17"/>
  <c r="BZ27" i="17" s="1"/>
  <c r="D28" i="10" s="1"/>
  <c r="F28" i="10" s="1"/>
  <c r="AU21" i="17"/>
  <c r="BZ21" i="17" s="1"/>
  <c r="D22" i="10" s="1"/>
  <c r="F22" i="10" s="1"/>
  <c r="AU14" i="17"/>
  <c r="BZ14" i="17" s="1"/>
  <c r="D15" i="10" s="1"/>
  <c r="F15" i="10" s="1"/>
  <c r="AU8" i="17"/>
  <c r="BZ8" i="17" s="1"/>
  <c r="AU9" i="17"/>
  <c r="BZ9" i="17" s="1"/>
  <c r="D10" i="10" s="1"/>
  <c r="F10" i="10" s="1"/>
  <c r="AU11" i="17"/>
  <c r="BZ11" i="17" s="1"/>
  <c r="D12" i="10" s="1"/>
  <c r="F12" i="10" s="1"/>
  <c r="AU23" i="17"/>
  <c r="BZ23" i="17" s="1"/>
  <c r="D24" i="10" s="1"/>
  <c r="F24" i="10" s="1"/>
  <c r="AU10" i="17"/>
  <c r="BZ10" i="17" s="1"/>
  <c r="D11" i="10" s="1"/>
  <c r="F11" i="10" s="1"/>
  <c r="AU31" i="17"/>
  <c r="BZ31" i="17" s="1"/>
  <c r="D32" i="10" s="1"/>
  <c r="F32" i="10" s="1"/>
  <c r="AU19" i="17"/>
  <c r="BZ19" i="17" s="1"/>
  <c r="D20" i="10" s="1"/>
  <c r="F20" i="10" s="1"/>
  <c r="AU28" i="17"/>
  <c r="BZ28" i="17" s="1"/>
  <c r="D29" i="10" s="1"/>
  <c r="F29" i="10" s="1"/>
  <c r="AU15" i="17"/>
  <c r="BZ15" i="17" s="1"/>
  <c r="D16" i="10" s="1"/>
  <c r="F16" i="10" s="1"/>
  <c r="AU24" i="17"/>
  <c r="BZ24" i="17" s="1"/>
  <c r="D25" i="10" s="1"/>
  <c r="F25" i="10" s="1"/>
  <c r="AU26" i="17"/>
  <c r="BZ26" i="17" s="1"/>
  <c r="D27" i="10" s="1"/>
  <c r="F27" i="10" s="1"/>
  <c r="AU22" i="17"/>
  <c r="BZ22" i="17" s="1"/>
  <c r="D23" i="10" s="1"/>
  <c r="F23" i="10" s="1"/>
  <c r="AU25" i="17"/>
  <c r="BZ25" i="17" s="1"/>
  <c r="D26" i="10" s="1"/>
  <c r="F26" i="10" s="1"/>
  <c r="AU29" i="17"/>
  <c r="BZ29" i="17" s="1"/>
  <c r="D30" i="10" s="1"/>
  <c r="F30" i="10" s="1"/>
  <c r="AU13" i="17"/>
  <c r="BZ13" i="17" s="1"/>
  <c r="D14" i="10" s="1"/>
  <c r="F14" i="10" s="1"/>
  <c r="AU17" i="17"/>
  <c r="BZ17" i="17" s="1"/>
  <c r="D18" i="10" s="1"/>
  <c r="F18" i="10" s="1"/>
  <c r="AU12" i="17"/>
  <c r="BZ12" i="17" s="1"/>
  <c r="D13" i="10" s="1"/>
  <c r="F13" i="10" s="1"/>
  <c r="AU16" i="17"/>
  <c r="BZ16" i="17" s="1"/>
  <c r="D17" i="10" s="1"/>
  <c r="F17" i="10" s="1"/>
  <c r="BF8" i="17"/>
  <c r="CK8" i="17" s="1"/>
  <c r="BF18" i="17"/>
  <c r="CK18" i="17" s="1"/>
  <c r="BE14" i="17"/>
  <c r="CJ14" i="17" s="1"/>
  <c r="BE60" i="17"/>
  <c r="CJ60" i="17" s="1"/>
  <c r="BE9" i="17"/>
  <c r="CJ9" i="17" s="1"/>
  <c r="BE11" i="17"/>
  <c r="CJ11" i="17" s="1"/>
  <c r="BE43" i="17"/>
  <c r="CJ43" i="17" s="1"/>
  <c r="BE57" i="17"/>
  <c r="CJ57" i="17" s="1"/>
  <c r="BE44" i="17"/>
  <c r="CJ44" i="17" s="1"/>
  <c r="BE18" i="17"/>
  <c r="CJ18" i="17" s="1"/>
  <c r="BE48" i="17"/>
  <c r="CJ48" i="17" s="1"/>
  <c r="BM52" i="17"/>
  <c r="CR52" i="17" s="1"/>
  <c r="BF12" i="17"/>
  <c r="CK12" i="17" s="1"/>
  <c r="BE25" i="17"/>
  <c r="CJ25" i="17" s="1"/>
  <c r="BM50" i="17"/>
  <c r="CR50" i="17" s="1"/>
  <c r="BF11" i="17"/>
  <c r="CK11" i="17" s="1"/>
  <c r="BE13" i="17"/>
  <c r="CJ13" i="17" s="1"/>
  <c r="BE8" i="17"/>
  <c r="CJ8" i="17" s="1"/>
  <c r="AR44" i="17"/>
  <c r="BW44" i="17" s="1"/>
  <c r="BE55" i="17"/>
  <c r="CJ55" i="17" s="1"/>
  <c r="AR45" i="17"/>
  <c r="BW45" i="17" s="1"/>
  <c r="BM57" i="17"/>
  <c r="CR57" i="17" s="1"/>
  <c r="BE49" i="17"/>
  <c r="CJ49" i="17" s="1"/>
  <c r="BF20" i="17"/>
  <c r="CK20" i="17" s="1"/>
  <c r="BE47" i="17"/>
  <c r="CJ47" i="17" s="1"/>
  <c r="BE42" i="17"/>
  <c r="CJ42" i="17" s="1"/>
  <c r="BM39" i="17"/>
  <c r="CR39" i="17" s="1"/>
  <c r="BE16" i="17"/>
  <c r="CJ16" i="17" s="1"/>
  <c r="BE59" i="17"/>
  <c r="CJ59" i="17" s="1"/>
  <c r="BE50" i="17"/>
  <c r="CJ50" i="17" s="1"/>
  <c r="AR39" i="17"/>
  <c r="BW39" i="17" s="1"/>
  <c r="BE45" i="17"/>
  <c r="CJ45" i="17" s="1"/>
  <c r="BE51" i="17"/>
  <c r="CJ51" i="17" s="1"/>
  <c r="BM47" i="17"/>
  <c r="CR47" i="17" s="1"/>
  <c r="BE19" i="17"/>
  <c r="CJ19" i="17" s="1"/>
  <c r="BE54" i="17"/>
  <c r="CJ54" i="17" s="1"/>
  <c r="BM54" i="17"/>
  <c r="CR54" i="17" s="1"/>
  <c r="BE20" i="17"/>
  <c r="CJ20" i="17" s="1"/>
  <c r="BF29" i="17"/>
  <c r="CK29" i="17" s="1"/>
  <c r="BG10" i="17"/>
  <c r="CL10" i="17" s="1"/>
  <c r="BE22" i="17"/>
  <c r="CJ22" i="17" s="1"/>
  <c r="BE58" i="17"/>
  <c r="CJ58" i="17" s="1"/>
  <c r="BE46" i="17"/>
  <c r="CJ46" i="17" s="1"/>
  <c r="BE38" i="17"/>
  <c r="CJ38" i="17" s="1"/>
  <c r="BE56" i="17"/>
  <c r="CJ56" i="17" s="1"/>
  <c r="BF23" i="17"/>
  <c r="CK23" i="17" s="1"/>
  <c r="AZ58" i="17"/>
  <c r="CE58" i="17" s="1"/>
  <c r="BF17" i="17"/>
  <c r="CK17" i="17" s="1"/>
  <c r="BF19" i="17"/>
  <c r="CK19" i="17" s="1"/>
  <c r="BF26" i="17"/>
  <c r="CK26" i="17" s="1"/>
  <c r="AZ59" i="17"/>
  <c r="CE59" i="17" s="1"/>
  <c r="AZ60" i="17"/>
  <c r="CE60" i="17" s="1"/>
  <c r="BF31" i="17"/>
  <c r="CK31" i="17" s="1"/>
  <c r="BF14" i="17"/>
  <c r="CK14" i="17" s="1"/>
  <c r="BF9" i="17"/>
  <c r="CK9" i="17" s="1"/>
  <c r="BF28" i="17"/>
  <c r="CK28" i="17" s="1"/>
  <c r="BG22" i="17"/>
  <c r="CL22" i="17" s="1"/>
  <c r="AQ19" i="17"/>
  <c r="BV19" i="17" s="1"/>
  <c r="BF25" i="17"/>
  <c r="CK25" i="17" s="1"/>
  <c r="BF10" i="17"/>
  <c r="CK10" i="17" s="1"/>
  <c r="BF16" i="17"/>
  <c r="CK16" i="17" s="1"/>
  <c r="BF27" i="17"/>
  <c r="CK27" i="17" s="1"/>
  <c r="BF22" i="17"/>
  <c r="CK22" i="17" s="1"/>
  <c r="BG9" i="17"/>
  <c r="CL9" i="17" s="1"/>
  <c r="AQ14" i="17"/>
  <c r="BV14" i="17" s="1"/>
  <c r="BF30" i="17"/>
  <c r="CK30" i="17" s="1"/>
  <c r="BF21" i="17"/>
  <c r="CK21" i="17" s="1"/>
  <c r="BG31" i="17"/>
  <c r="CL31" i="17" s="1"/>
  <c r="AZ44" i="17"/>
  <c r="CE44" i="17" s="1"/>
  <c r="BF24" i="17"/>
  <c r="CK24" i="17" s="1"/>
  <c r="BF13" i="17"/>
  <c r="CK13" i="17" s="1"/>
  <c r="BG20" i="17"/>
  <c r="CL20" i="17" s="1"/>
  <c r="AZ57" i="17"/>
  <c r="CE57" i="17" s="1"/>
  <c r="BJ31" i="17"/>
  <c r="CO31" i="17" s="1"/>
  <c r="AR28" i="17"/>
  <c r="BW28" i="17" s="1"/>
  <c r="BL30" i="17"/>
  <c r="CQ30" i="17" s="1"/>
  <c r="AR21" i="17"/>
  <c r="BW21" i="17" s="1"/>
  <c r="BJ22" i="17"/>
  <c r="CO22" i="17" s="1"/>
  <c r="AX49" i="17"/>
  <c r="CC49" i="17" s="1"/>
  <c r="AX56" i="17"/>
  <c r="CC56" i="17" s="1"/>
  <c r="BK44" i="17"/>
  <c r="CP44" i="17" s="1"/>
  <c r="AR13" i="17"/>
  <c r="BW13" i="17" s="1"/>
  <c r="BJ26" i="17"/>
  <c r="CO26" i="17" s="1"/>
  <c r="BK39" i="17"/>
  <c r="CP39" i="17" s="1"/>
  <c r="BK41" i="17"/>
  <c r="CP41" i="17" s="1"/>
  <c r="BK40" i="17"/>
  <c r="CP40" i="17" s="1"/>
  <c r="BD60" i="17"/>
  <c r="CI60" i="17" s="1"/>
  <c r="BL12" i="17"/>
  <c r="CQ12" i="17" s="1"/>
  <c r="BD10" i="17"/>
  <c r="CI10" i="17" s="1"/>
  <c r="BL11" i="17"/>
  <c r="CQ11" i="17" s="1"/>
  <c r="BD15" i="17"/>
  <c r="CI15" i="17" s="1"/>
  <c r="BK51" i="17"/>
  <c r="CP51" i="17" s="1"/>
  <c r="BK55" i="17"/>
  <c r="CP55" i="17" s="1"/>
  <c r="BK42" i="17"/>
  <c r="CP42" i="17" s="1"/>
  <c r="BL18" i="17"/>
  <c r="CQ18" i="17" s="1"/>
  <c r="BD17" i="17"/>
  <c r="CI17" i="17" s="1"/>
  <c r="BK59" i="17"/>
  <c r="CP59" i="17" s="1"/>
  <c r="BD13" i="17"/>
  <c r="CI13" i="17" s="1"/>
  <c r="BD9" i="17"/>
  <c r="CI9" i="17" s="1"/>
  <c r="BD47" i="17"/>
  <c r="CI47" i="17" s="1"/>
  <c r="BD22" i="17"/>
  <c r="CI22" i="17" s="1"/>
  <c r="BD58" i="17"/>
  <c r="CI58" i="17" s="1"/>
  <c r="BD27" i="17"/>
  <c r="CI27" i="17" s="1"/>
  <c r="AZ41" i="17"/>
  <c r="CE41" i="17" s="1"/>
  <c r="AZ55" i="17"/>
  <c r="CE55" i="17" s="1"/>
  <c r="AZ54" i="17"/>
  <c r="CE54" i="17" s="1"/>
  <c r="AZ47" i="17"/>
  <c r="CE47" i="17" s="1"/>
  <c r="AZ43" i="17"/>
  <c r="CE43" i="17" s="1"/>
  <c r="AZ46" i="17"/>
  <c r="CE46" i="17" s="1"/>
  <c r="BD42" i="17"/>
  <c r="CI42" i="17" s="1"/>
  <c r="BD57" i="17"/>
  <c r="CI57" i="17" s="1"/>
  <c r="BD59" i="17"/>
  <c r="CI59" i="17" s="1"/>
  <c r="BJ20" i="17"/>
  <c r="CO20" i="17" s="1"/>
  <c r="BD30" i="17"/>
  <c r="CI30" i="17" s="1"/>
  <c r="BK26" i="17"/>
  <c r="CP26" i="17" s="1"/>
  <c r="BK43" i="17"/>
  <c r="CP43" i="17" s="1"/>
  <c r="AZ45" i="17"/>
  <c r="CE45" i="17" s="1"/>
  <c r="BD54" i="17"/>
  <c r="CI54" i="17" s="1"/>
  <c r="BD44" i="17"/>
  <c r="CI44" i="17" s="1"/>
  <c r="BD43" i="17"/>
  <c r="CI43" i="17" s="1"/>
  <c r="AZ51" i="17"/>
  <c r="CE51" i="17" s="1"/>
  <c r="BK52" i="17"/>
  <c r="CP52" i="17" s="1"/>
  <c r="BD55" i="17"/>
  <c r="CI55" i="17" s="1"/>
  <c r="BD56" i="17"/>
  <c r="CI56" i="17" s="1"/>
  <c r="BD40" i="17"/>
  <c r="CI40" i="17" s="1"/>
  <c r="BD20" i="17"/>
  <c r="CI20" i="17" s="1"/>
  <c r="BD24" i="17"/>
  <c r="CI24" i="17" s="1"/>
  <c r="BK57" i="17"/>
  <c r="CP57" i="17" s="1"/>
  <c r="BK56" i="17"/>
  <c r="CP56" i="17" s="1"/>
  <c r="AZ49" i="17"/>
  <c r="CE49" i="17" s="1"/>
  <c r="BK38" i="17"/>
  <c r="CP38" i="17" s="1"/>
  <c r="BK60" i="17"/>
  <c r="CP60" i="17" s="1"/>
  <c r="AZ40" i="17"/>
  <c r="CE40" i="17" s="1"/>
  <c r="AZ53" i="17"/>
  <c r="CE53" i="17" s="1"/>
  <c r="BD53" i="17"/>
  <c r="CI53" i="17" s="1"/>
  <c r="BD45" i="17"/>
  <c r="CI45" i="17" s="1"/>
  <c r="BD50" i="17"/>
  <c r="CI50" i="17" s="1"/>
  <c r="AZ42" i="17"/>
  <c r="CE42" i="17" s="1"/>
  <c r="BK47" i="17"/>
  <c r="CP47" i="17" s="1"/>
  <c r="BD48" i="17"/>
  <c r="CI48" i="17" s="1"/>
  <c r="BK45" i="17"/>
  <c r="CP45" i="17" s="1"/>
  <c r="BJ15" i="17"/>
  <c r="CO15" i="17" s="1"/>
  <c r="BD25" i="17"/>
  <c r="CI25" i="17" s="1"/>
  <c r="AS44" i="17"/>
  <c r="BX44" i="17" s="1"/>
  <c r="BK49" i="17"/>
  <c r="CP49" i="17" s="1"/>
  <c r="AZ56" i="17"/>
  <c r="CE56" i="17" s="1"/>
  <c r="AZ38" i="17"/>
  <c r="CE38" i="17" s="1"/>
  <c r="AZ37" i="17"/>
  <c r="CE37" i="17" s="1"/>
  <c r="BD37" i="17"/>
  <c r="CI37" i="17" s="1"/>
  <c r="BD46" i="17"/>
  <c r="CI46" i="17" s="1"/>
  <c r="BD39" i="17"/>
  <c r="CI39" i="17" s="1"/>
  <c r="AZ50" i="17"/>
  <c r="CE50" i="17" s="1"/>
  <c r="BL49" i="17"/>
  <c r="CQ49" i="17" s="1"/>
  <c r="BK48" i="17"/>
  <c r="CP48" i="17" s="1"/>
  <c r="BK37" i="17"/>
  <c r="CP37" i="17" s="1"/>
  <c r="BD51" i="17"/>
  <c r="CI51" i="17" s="1"/>
  <c r="BD52" i="17"/>
  <c r="CI52" i="17" s="1"/>
  <c r="BK53" i="17"/>
  <c r="CP53" i="17" s="1"/>
  <c r="BJ14" i="17"/>
  <c r="CO14" i="17" s="1"/>
  <c r="BD18" i="17"/>
  <c r="CI18" i="17" s="1"/>
  <c r="AZ48" i="17"/>
  <c r="CE48" i="17" s="1"/>
  <c r="BK46" i="17"/>
  <c r="CP46" i="17" s="1"/>
  <c r="BK50" i="17"/>
  <c r="CP50" i="17" s="1"/>
  <c r="BK58" i="17"/>
  <c r="CP58" i="17" s="1"/>
  <c r="AZ52" i="17"/>
  <c r="CE52" i="17" s="1"/>
  <c r="BD49" i="17"/>
  <c r="CI49" i="17" s="1"/>
  <c r="BD41" i="17"/>
  <c r="CI41" i="17" s="1"/>
  <c r="BL53" i="17"/>
  <c r="CQ53" i="17" s="1"/>
  <c r="AZ14" i="17"/>
  <c r="CE14" i="17" s="1"/>
  <c r="AY14" i="17"/>
  <c r="CD14" i="17" s="1"/>
  <c r="BL16" i="17"/>
  <c r="CQ16" i="17" s="1"/>
  <c r="AQ17" i="17"/>
  <c r="BV17" i="17" s="1"/>
  <c r="BL40" i="17"/>
  <c r="CQ40" i="17" s="1"/>
  <c r="AQ51" i="17"/>
  <c r="BV51" i="17" s="1"/>
  <c r="AY19" i="17"/>
  <c r="CD19" i="17" s="1"/>
  <c r="BL14" i="17"/>
  <c r="CQ14" i="17" s="1"/>
  <c r="AY24" i="17"/>
  <c r="CD24" i="17" s="1"/>
  <c r="BL19" i="17"/>
  <c r="CQ19" i="17" s="1"/>
  <c r="BL8" i="17"/>
  <c r="CQ8" i="17" s="1"/>
  <c r="BM31" i="17"/>
  <c r="CR31" i="17" s="1"/>
  <c r="AQ49" i="17"/>
  <c r="BV49" i="17" s="1"/>
  <c r="AQ45" i="17"/>
  <c r="BV45" i="17" s="1"/>
  <c r="AQ43" i="17"/>
  <c r="BV43" i="17" s="1"/>
  <c r="AY22" i="17"/>
  <c r="CD22" i="17" s="1"/>
  <c r="AR14" i="17"/>
  <c r="BW14" i="17" s="1"/>
  <c r="AR31" i="17"/>
  <c r="BW31" i="17" s="1"/>
  <c r="AY27" i="17"/>
  <c r="CD27" i="17" s="1"/>
  <c r="BL22" i="17"/>
  <c r="CQ22" i="17" s="1"/>
  <c r="BL21" i="17"/>
  <c r="CQ21" i="17" s="1"/>
  <c r="BM10" i="17"/>
  <c r="CR10" i="17" s="1"/>
  <c r="AQ58" i="17"/>
  <c r="BV58" i="17" s="1"/>
  <c r="AQ52" i="17"/>
  <c r="BV52" i="17" s="1"/>
  <c r="AS40" i="17"/>
  <c r="BX40" i="17" s="1"/>
  <c r="AY37" i="17"/>
  <c r="CD37" i="17" s="1"/>
  <c r="BL31" i="17"/>
  <c r="CQ31" i="17" s="1"/>
  <c r="AY56" i="17"/>
  <c r="CD56" i="17" s="1"/>
  <c r="AR27" i="17"/>
  <c r="BW27" i="17" s="1"/>
  <c r="AY17" i="17"/>
  <c r="CD17" i="17" s="1"/>
  <c r="BL10" i="17"/>
  <c r="CQ10" i="17" s="1"/>
  <c r="AQ16" i="17"/>
  <c r="BV16" i="17" s="1"/>
  <c r="AQ41" i="17"/>
  <c r="BV41" i="17" s="1"/>
  <c r="AS39" i="17"/>
  <c r="BX39" i="17" s="1"/>
  <c r="AS38" i="17"/>
  <c r="BX38" i="17" s="1"/>
  <c r="AY48" i="17"/>
  <c r="CD48" i="17" s="1"/>
  <c r="AS49" i="17"/>
  <c r="BX49" i="17" s="1"/>
  <c r="AY9" i="17"/>
  <c r="CD9" i="17" s="1"/>
  <c r="AY21" i="17"/>
  <c r="CD21" i="17" s="1"/>
  <c r="BJ8" i="17"/>
  <c r="CO8" i="17" s="1"/>
  <c r="BL23" i="17"/>
  <c r="CQ23" i="17" s="1"/>
  <c r="BL27" i="17"/>
  <c r="CQ27" i="17" s="1"/>
  <c r="BL25" i="17"/>
  <c r="CQ25" i="17" s="1"/>
  <c r="BE28" i="17"/>
  <c r="CJ28" i="17" s="1"/>
  <c r="BE27" i="17"/>
  <c r="CJ27" i="17" s="1"/>
  <c r="BE26" i="17"/>
  <c r="CJ26" i="17" s="1"/>
  <c r="BD23" i="17"/>
  <c r="CI23" i="17" s="1"/>
  <c r="BD21" i="17"/>
  <c r="CI21" i="17" s="1"/>
  <c r="BD29" i="17"/>
  <c r="CI29" i="17" s="1"/>
  <c r="AQ28" i="17"/>
  <c r="BV28" i="17" s="1"/>
  <c r="BK11" i="17"/>
  <c r="CP11" i="17" s="1"/>
  <c r="BL57" i="17"/>
  <c r="CQ57" i="17" s="1"/>
  <c r="AS59" i="17"/>
  <c r="BX59" i="17" s="1"/>
  <c r="BL50" i="17"/>
  <c r="CQ50" i="17" s="1"/>
  <c r="BM42" i="17"/>
  <c r="CR42" i="17" s="1"/>
  <c r="BM53" i="17"/>
  <c r="CR53" i="17" s="1"/>
  <c r="AY41" i="17"/>
  <c r="CD41" i="17" s="1"/>
  <c r="BL56" i="17"/>
  <c r="CQ56" i="17" s="1"/>
  <c r="AS52" i="17"/>
  <c r="BX52" i="17" s="1"/>
  <c r="AY45" i="17"/>
  <c r="CD45" i="17" s="1"/>
  <c r="AY23" i="17"/>
  <c r="CD23" i="17" s="1"/>
  <c r="AY25" i="17"/>
  <c r="CD25" i="17" s="1"/>
  <c r="BJ28" i="17"/>
  <c r="CO28" i="17" s="1"/>
  <c r="BL17" i="17"/>
  <c r="CQ17" i="17" s="1"/>
  <c r="BL13" i="17"/>
  <c r="CQ13" i="17" s="1"/>
  <c r="BL24" i="17"/>
  <c r="CQ24" i="17" s="1"/>
  <c r="BE21" i="17"/>
  <c r="CJ21" i="17" s="1"/>
  <c r="BE17" i="17"/>
  <c r="CJ17" i="17" s="1"/>
  <c r="BE15" i="17"/>
  <c r="CJ15" i="17" s="1"/>
  <c r="BD16" i="17"/>
  <c r="CI16" i="17" s="1"/>
  <c r="BD12" i="17"/>
  <c r="CI12" i="17" s="1"/>
  <c r="BD14" i="17"/>
  <c r="CI14" i="17" s="1"/>
  <c r="AQ9" i="17"/>
  <c r="BV9" i="17" s="1"/>
  <c r="BM51" i="17"/>
  <c r="CR51" i="17" s="1"/>
  <c r="AY42" i="17"/>
  <c r="CD42" i="17" s="1"/>
  <c r="AY43" i="17"/>
  <c r="CD43" i="17" s="1"/>
  <c r="AS55" i="17"/>
  <c r="BX55" i="17" s="1"/>
  <c r="BL52" i="17"/>
  <c r="CQ52" i="17" s="1"/>
  <c r="AS58" i="17"/>
  <c r="BX58" i="17" s="1"/>
  <c r="AS41" i="17"/>
  <c r="BX41" i="17" s="1"/>
  <c r="AY50" i="17"/>
  <c r="CD50" i="17" s="1"/>
  <c r="AS50" i="17"/>
  <c r="BX50" i="17" s="1"/>
  <c r="AZ8" i="17"/>
  <c r="CE8" i="17" s="1"/>
  <c r="AY28" i="17"/>
  <c r="CD28" i="17" s="1"/>
  <c r="BJ21" i="17"/>
  <c r="CO21" i="17" s="1"/>
  <c r="BJ16" i="17"/>
  <c r="CO16" i="17" s="1"/>
  <c r="BL15" i="17"/>
  <c r="CQ15" i="17" s="1"/>
  <c r="BL9" i="17"/>
  <c r="CQ9" i="17" s="1"/>
  <c r="BL29" i="17"/>
  <c r="CQ29" i="17" s="1"/>
  <c r="BE12" i="17"/>
  <c r="CJ12" i="17" s="1"/>
  <c r="BE24" i="17"/>
  <c r="CJ24" i="17" s="1"/>
  <c r="BE30" i="17"/>
  <c r="CJ30" i="17" s="1"/>
  <c r="BD8" i="17"/>
  <c r="CI8" i="17" s="1"/>
  <c r="BD19" i="17"/>
  <c r="CI19" i="17" s="1"/>
  <c r="BD28" i="17"/>
  <c r="CI28" i="17" s="1"/>
  <c r="BL54" i="17"/>
  <c r="CQ54" i="17" s="1"/>
  <c r="BM58" i="17"/>
  <c r="CR58" i="17" s="1"/>
  <c r="AY60" i="17"/>
  <c r="CD60" i="17" s="1"/>
  <c r="AY39" i="17"/>
  <c r="CD39" i="17" s="1"/>
  <c r="AS57" i="17"/>
  <c r="BX57" i="17" s="1"/>
  <c r="BL42" i="17"/>
  <c r="CQ42" i="17" s="1"/>
  <c r="AZ13" i="17"/>
  <c r="CE13" i="17" s="1"/>
  <c r="AS43" i="17"/>
  <c r="BX43" i="17" s="1"/>
  <c r="AY44" i="17"/>
  <c r="CD44" i="17" s="1"/>
  <c r="AZ15" i="17"/>
  <c r="CE15" i="17" s="1"/>
  <c r="AY13" i="17"/>
  <c r="CD13" i="17" s="1"/>
  <c r="BJ11" i="17"/>
  <c r="CO11" i="17" s="1"/>
  <c r="BJ27" i="17"/>
  <c r="CO27" i="17" s="1"/>
  <c r="BL20" i="17"/>
  <c r="CQ20" i="17" s="1"/>
  <c r="BL28" i="17"/>
  <c r="CQ28" i="17" s="1"/>
  <c r="BE10" i="17"/>
  <c r="CJ10" i="17" s="1"/>
  <c r="BE31" i="17"/>
  <c r="CJ31" i="17" s="1"/>
  <c r="BD31" i="17"/>
  <c r="CI31" i="17" s="1"/>
  <c r="BD11" i="17"/>
  <c r="CI11" i="17" s="1"/>
  <c r="BL47" i="17"/>
  <c r="CQ47" i="17" s="1"/>
  <c r="BM56" i="17"/>
  <c r="CR56" i="17" s="1"/>
  <c r="BM41" i="17"/>
  <c r="CR41" i="17" s="1"/>
  <c r="AY52" i="17"/>
  <c r="CD52" i="17" s="1"/>
  <c r="AS51" i="17"/>
  <c r="BX51" i="17" s="1"/>
  <c r="BA51" i="17"/>
  <c r="CF51" i="17" s="1"/>
  <c r="BC16" i="17"/>
  <c r="CH16" i="17" s="1"/>
  <c r="BK16" i="17"/>
  <c r="CP16" i="17" s="1"/>
  <c r="AX51" i="17"/>
  <c r="CC51" i="17" s="1"/>
  <c r="AX46" i="17"/>
  <c r="CC46" i="17" s="1"/>
  <c r="BA58" i="17"/>
  <c r="CF58" i="17" s="1"/>
  <c r="AR30" i="17"/>
  <c r="BW30" i="17" s="1"/>
  <c r="BC30" i="17"/>
  <c r="CH30" i="17" s="1"/>
  <c r="BM9" i="17"/>
  <c r="CR9" i="17" s="1"/>
  <c r="AR8" i="17"/>
  <c r="BW8" i="17" s="1"/>
  <c r="BC12" i="17"/>
  <c r="CH12" i="17" s="1"/>
  <c r="BC26" i="17"/>
  <c r="CH26" i="17" s="1"/>
  <c r="BM20" i="17"/>
  <c r="CR20" i="17" s="1"/>
  <c r="BA43" i="17"/>
  <c r="CF43" i="17" s="1"/>
  <c r="BA55" i="17"/>
  <c r="CF55" i="17" s="1"/>
  <c r="AR9" i="17"/>
  <c r="BW9" i="17" s="1"/>
  <c r="AR19" i="17"/>
  <c r="BW19" i="17" s="1"/>
  <c r="AR18" i="17"/>
  <c r="BW18" i="17" s="1"/>
  <c r="BG21" i="17"/>
  <c r="CL21" i="17" s="1"/>
  <c r="BG25" i="17"/>
  <c r="CL25" i="17" s="1"/>
  <c r="AY31" i="17"/>
  <c r="CD31" i="17" s="1"/>
  <c r="AY18" i="17"/>
  <c r="CD18" i="17" s="1"/>
  <c r="AY11" i="17"/>
  <c r="CD11" i="17" s="1"/>
  <c r="BJ24" i="17"/>
  <c r="CO24" i="17" s="1"/>
  <c r="BJ9" i="17"/>
  <c r="CO9" i="17" s="1"/>
  <c r="BJ18" i="17"/>
  <c r="CO18" i="17" s="1"/>
  <c r="BC23" i="17"/>
  <c r="CH23" i="17" s="1"/>
  <c r="BC25" i="17"/>
  <c r="CH25" i="17" s="1"/>
  <c r="BC8" i="17"/>
  <c r="CH8" i="17" s="1"/>
  <c r="BM8" i="17"/>
  <c r="CR8" i="17" s="1"/>
  <c r="BM21" i="17"/>
  <c r="CR21" i="17" s="1"/>
  <c r="BM14" i="17"/>
  <c r="CR14" i="17" s="1"/>
  <c r="BA30" i="17"/>
  <c r="CF30" i="17" s="1"/>
  <c r="BK19" i="17"/>
  <c r="CP19" i="17" s="1"/>
  <c r="AQ44" i="17"/>
  <c r="BV44" i="17" s="1"/>
  <c r="AQ46" i="17"/>
  <c r="BV46" i="17" s="1"/>
  <c r="AX45" i="17"/>
  <c r="CC45" i="17" s="1"/>
  <c r="AX57" i="17"/>
  <c r="CC57" i="17" s="1"/>
  <c r="BA57" i="17"/>
  <c r="CF57" i="17" s="1"/>
  <c r="BM43" i="17"/>
  <c r="CR43" i="17" s="1"/>
  <c r="BM44" i="17"/>
  <c r="CR44" i="17" s="1"/>
  <c r="BM46" i="17"/>
  <c r="CR46" i="17" s="1"/>
  <c r="BF41" i="17"/>
  <c r="CK41" i="17" s="1"/>
  <c r="BA39" i="17"/>
  <c r="CF39" i="17" s="1"/>
  <c r="AQ54" i="17"/>
  <c r="BV54" i="17" s="1"/>
  <c r="BC9" i="17"/>
  <c r="CH9" i="17" s="1"/>
  <c r="BM29" i="17"/>
  <c r="CR29" i="17" s="1"/>
  <c r="BK30" i="17"/>
  <c r="CP30" i="17" s="1"/>
  <c r="AX60" i="17"/>
  <c r="CC60" i="17" s="1"/>
  <c r="AX50" i="17"/>
  <c r="CC50" i="17" s="1"/>
  <c r="BA46" i="17"/>
  <c r="CF46" i="17" s="1"/>
  <c r="AX40" i="17"/>
  <c r="CC40" i="17" s="1"/>
  <c r="AR23" i="17"/>
  <c r="BW23" i="17" s="1"/>
  <c r="BC31" i="17"/>
  <c r="CH31" i="17" s="1"/>
  <c r="AR20" i="17"/>
  <c r="BW20" i="17" s="1"/>
  <c r="BM30" i="17"/>
  <c r="CR30" i="17" s="1"/>
  <c r="BA10" i="17"/>
  <c r="CF10" i="17" s="1"/>
  <c r="BF54" i="17"/>
  <c r="CK54" i="17" s="1"/>
  <c r="AR26" i="17"/>
  <c r="BW26" i="17" s="1"/>
  <c r="AR11" i="17"/>
  <c r="BW11" i="17" s="1"/>
  <c r="AR12" i="17"/>
  <c r="BW12" i="17" s="1"/>
  <c r="BG30" i="17"/>
  <c r="CL30" i="17" s="1"/>
  <c r="BG28" i="17"/>
  <c r="CL28" i="17" s="1"/>
  <c r="AY20" i="17"/>
  <c r="CD20" i="17" s="1"/>
  <c r="AY30" i="17"/>
  <c r="CD30" i="17" s="1"/>
  <c r="AY12" i="17"/>
  <c r="CD12" i="17" s="1"/>
  <c r="BJ17" i="17"/>
  <c r="CO17" i="17" s="1"/>
  <c r="BJ10" i="17"/>
  <c r="CO10" i="17" s="1"/>
  <c r="BJ25" i="17"/>
  <c r="CO25" i="17" s="1"/>
  <c r="BC10" i="17"/>
  <c r="CH10" i="17" s="1"/>
  <c r="BC15" i="17"/>
  <c r="CH15" i="17" s="1"/>
  <c r="BC13" i="17"/>
  <c r="CH13" i="17" s="1"/>
  <c r="BM25" i="17"/>
  <c r="CR25" i="17" s="1"/>
  <c r="BM23" i="17"/>
  <c r="CR23" i="17" s="1"/>
  <c r="BM17" i="17"/>
  <c r="CR17" i="17" s="1"/>
  <c r="BK21" i="17"/>
  <c r="CP21" i="17" s="1"/>
  <c r="BK23" i="17"/>
  <c r="CP23" i="17" s="1"/>
  <c r="AX41" i="17"/>
  <c r="CC41" i="17" s="1"/>
  <c r="AX52" i="17"/>
  <c r="CC52" i="17" s="1"/>
  <c r="AQ47" i="17"/>
  <c r="BV47" i="17" s="1"/>
  <c r="AX54" i="17"/>
  <c r="CC54" i="17" s="1"/>
  <c r="AQ57" i="17"/>
  <c r="BV57" i="17" s="1"/>
  <c r="AX44" i="17"/>
  <c r="CC44" i="17" s="1"/>
  <c r="BA45" i="17"/>
  <c r="CF45" i="17" s="1"/>
  <c r="AQ60" i="17"/>
  <c r="BV60" i="17" s="1"/>
  <c r="BM55" i="17"/>
  <c r="CR55" i="17" s="1"/>
  <c r="BM60" i="17"/>
  <c r="CR60" i="17" s="1"/>
  <c r="BM38" i="17"/>
  <c r="CR38" i="17" s="1"/>
  <c r="AX37" i="17"/>
  <c r="CC37" i="17" s="1"/>
  <c r="BA44" i="17"/>
  <c r="CF44" i="17" s="1"/>
  <c r="AQ37" i="17"/>
  <c r="BV37" i="17" s="1"/>
  <c r="BA59" i="17"/>
  <c r="CF59" i="17" s="1"/>
  <c r="BC27" i="17"/>
  <c r="CH27" i="17" s="1"/>
  <c r="BC28" i="17"/>
  <c r="CH28" i="17" s="1"/>
  <c r="BM19" i="17"/>
  <c r="CR19" i="17" s="1"/>
  <c r="BA48" i="17"/>
  <c r="CF48" i="17" s="1"/>
  <c r="BC14" i="17"/>
  <c r="CH14" i="17" s="1"/>
  <c r="BM26" i="17"/>
  <c r="CR26" i="17" s="1"/>
  <c r="BK29" i="17"/>
  <c r="CP29" i="17" s="1"/>
  <c r="AX43" i="17"/>
  <c r="CC43" i="17" s="1"/>
  <c r="AX55" i="17"/>
  <c r="CC55" i="17" s="1"/>
  <c r="AR17" i="17"/>
  <c r="BW17" i="17" s="1"/>
  <c r="BC11" i="17"/>
  <c r="CH11" i="17" s="1"/>
  <c r="BM13" i="17"/>
  <c r="CR13" i="17" s="1"/>
  <c r="BK28" i="17"/>
  <c r="CP28" i="17" s="1"/>
  <c r="AX47" i="17"/>
  <c r="CC47" i="17" s="1"/>
  <c r="BA56" i="17"/>
  <c r="CF56" i="17" s="1"/>
  <c r="AX38" i="17"/>
  <c r="CC38" i="17" s="1"/>
  <c r="AR15" i="17"/>
  <c r="BW15" i="17" s="1"/>
  <c r="AR25" i="17"/>
  <c r="BW25" i="17" s="1"/>
  <c r="AR10" i="17"/>
  <c r="BW10" i="17" s="1"/>
  <c r="BG18" i="17"/>
  <c r="CL18" i="17" s="1"/>
  <c r="AZ19" i="17"/>
  <c r="CE19" i="17" s="1"/>
  <c r="AY16" i="17"/>
  <c r="CD16" i="17" s="1"/>
  <c r="AY26" i="17"/>
  <c r="CD26" i="17" s="1"/>
  <c r="AY15" i="17"/>
  <c r="CD15" i="17" s="1"/>
  <c r="BJ19" i="17"/>
  <c r="CO19" i="17" s="1"/>
  <c r="BJ13" i="17"/>
  <c r="CO13" i="17" s="1"/>
  <c r="BJ23" i="17"/>
  <c r="CO23" i="17" s="1"/>
  <c r="BC24" i="17"/>
  <c r="CH24" i="17" s="1"/>
  <c r="BC18" i="17"/>
  <c r="CH18" i="17" s="1"/>
  <c r="BC21" i="17"/>
  <c r="CH21" i="17" s="1"/>
  <c r="BM22" i="17"/>
  <c r="CR22" i="17" s="1"/>
  <c r="BM24" i="17"/>
  <c r="CR24" i="17" s="1"/>
  <c r="BM11" i="17"/>
  <c r="CR11" i="17" s="1"/>
  <c r="BK9" i="17"/>
  <c r="CP9" i="17" s="1"/>
  <c r="BK14" i="17"/>
  <c r="CP14" i="17" s="1"/>
  <c r="BJ38" i="17"/>
  <c r="CO38" i="17" s="1"/>
  <c r="AQ42" i="17"/>
  <c r="BV42" i="17" s="1"/>
  <c r="BA40" i="17"/>
  <c r="CF40" i="17" s="1"/>
  <c r="AQ53" i="17"/>
  <c r="BV53" i="17" s="1"/>
  <c r="AQ50" i="17"/>
  <c r="BV50" i="17" s="1"/>
  <c r="BM45" i="17"/>
  <c r="CR45" i="17" s="1"/>
  <c r="BM40" i="17"/>
  <c r="CR40" i="17" s="1"/>
  <c r="BM37" i="17"/>
  <c r="CR37" i="17" s="1"/>
  <c r="BA49" i="17"/>
  <c r="CF49" i="17" s="1"/>
  <c r="BA50" i="17"/>
  <c r="CF50" i="17" s="1"/>
  <c r="AQ56" i="17"/>
  <c r="BV56" i="17" s="1"/>
  <c r="BA41" i="17"/>
  <c r="CF41" i="17" s="1"/>
  <c r="BJ54" i="17"/>
  <c r="CO54" i="17" s="1"/>
  <c r="BC20" i="17"/>
  <c r="CH20" i="17" s="1"/>
  <c r="BA42" i="17"/>
  <c r="CF42" i="17" s="1"/>
  <c r="BA38" i="17"/>
  <c r="CF38" i="17" s="1"/>
  <c r="BC17" i="17"/>
  <c r="CH17" i="17" s="1"/>
  <c r="BM16" i="17"/>
  <c r="CR16" i="17" s="1"/>
  <c r="AX59" i="17"/>
  <c r="CC59" i="17" s="1"/>
  <c r="AR16" i="17"/>
  <c r="BW16" i="17" s="1"/>
  <c r="BM27" i="17"/>
  <c r="CR27" i="17" s="1"/>
  <c r="BA52" i="17"/>
  <c r="CF52" i="17" s="1"/>
  <c r="BA53" i="17"/>
  <c r="CF53" i="17" s="1"/>
  <c r="BA60" i="17"/>
  <c r="CF60" i="17" s="1"/>
  <c r="AX53" i="17"/>
  <c r="CC53" i="17" s="1"/>
  <c r="BA37" i="17"/>
  <c r="CF37" i="17" s="1"/>
  <c r="AR24" i="17"/>
  <c r="BW24" i="17" s="1"/>
  <c r="AR22" i="17"/>
  <c r="BW22" i="17" s="1"/>
  <c r="BG16" i="17"/>
  <c r="CL16" i="17" s="1"/>
  <c r="BG11" i="17"/>
  <c r="CL11" i="17" s="1"/>
  <c r="AZ18" i="17"/>
  <c r="CE18" i="17" s="1"/>
  <c r="AY8" i="17"/>
  <c r="CD8" i="17" s="1"/>
  <c r="AY10" i="17"/>
  <c r="CD10" i="17" s="1"/>
  <c r="BJ12" i="17"/>
  <c r="CO12" i="17" s="1"/>
  <c r="BJ29" i="17"/>
  <c r="CO29" i="17" s="1"/>
  <c r="BC19" i="17"/>
  <c r="CH19" i="17" s="1"/>
  <c r="BC22" i="17"/>
  <c r="CH22" i="17" s="1"/>
  <c r="BM15" i="17"/>
  <c r="CR15" i="17" s="1"/>
  <c r="BM18" i="17"/>
  <c r="CR18" i="17" s="1"/>
  <c r="BA26" i="17"/>
  <c r="CF26" i="17" s="1"/>
  <c r="BK22" i="17"/>
  <c r="CP22" i="17" s="1"/>
  <c r="AQ55" i="17"/>
  <c r="BV55" i="17" s="1"/>
  <c r="AX58" i="17"/>
  <c r="CC58" i="17" s="1"/>
  <c r="BG46" i="17"/>
  <c r="CL46" i="17" s="1"/>
  <c r="AX39" i="17"/>
  <c r="CC39" i="17" s="1"/>
  <c r="BA47" i="17"/>
  <c r="CF47" i="17" s="1"/>
  <c r="BM48" i="17"/>
  <c r="CR48" i="17" s="1"/>
  <c r="BM59" i="17"/>
  <c r="CR59" i="17" s="1"/>
  <c r="BF46" i="17"/>
  <c r="CK46" i="17" s="1"/>
  <c r="AX42" i="17"/>
  <c r="CC42" i="17" s="1"/>
  <c r="AR58" i="17"/>
  <c r="BW58" i="17" s="1"/>
  <c r="AZ31" i="17"/>
  <c r="CE31" i="17" s="1"/>
  <c r="AZ27" i="17"/>
  <c r="CE27" i="17" s="1"/>
  <c r="AQ11" i="17"/>
  <c r="BV11" i="17" s="1"/>
  <c r="BA17" i="17"/>
  <c r="CF17" i="17" s="1"/>
  <c r="BJ44" i="17"/>
  <c r="CO44" i="17" s="1"/>
  <c r="AR54" i="17"/>
  <c r="BW54" i="17" s="1"/>
  <c r="AZ24" i="17"/>
  <c r="CE24" i="17" s="1"/>
  <c r="AR57" i="17"/>
  <c r="BW57" i="17" s="1"/>
  <c r="BF48" i="17"/>
  <c r="CK48" i="17" s="1"/>
  <c r="BG47" i="17"/>
  <c r="CL47" i="17" s="1"/>
  <c r="BJ40" i="17"/>
  <c r="CO40" i="17" s="1"/>
  <c r="BG23" i="17"/>
  <c r="CL23" i="17" s="1"/>
  <c r="BG24" i="17"/>
  <c r="CL24" i="17" s="1"/>
  <c r="BG29" i="17"/>
  <c r="CL29" i="17" s="1"/>
  <c r="AZ12" i="17"/>
  <c r="CE12" i="17" s="1"/>
  <c r="AZ16" i="17"/>
  <c r="CE16" i="17" s="1"/>
  <c r="AZ22" i="17"/>
  <c r="CE22" i="17" s="1"/>
  <c r="AQ18" i="17"/>
  <c r="BV18" i="17" s="1"/>
  <c r="AQ23" i="17"/>
  <c r="BV23" i="17" s="1"/>
  <c r="AQ30" i="17"/>
  <c r="BV30" i="17" s="1"/>
  <c r="BA21" i="17"/>
  <c r="CF21" i="17" s="1"/>
  <c r="BA24" i="17"/>
  <c r="CF24" i="17" s="1"/>
  <c r="BA31" i="17"/>
  <c r="CF31" i="17" s="1"/>
  <c r="BK15" i="17"/>
  <c r="CP15" i="17" s="1"/>
  <c r="BK8" i="17"/>
  <c r="CP8" i="17" s="1"/>
  <c r="BK27" i="17"/>
  <c r="CP27" i="17" s="1"/>
  <c r="BJ45" i="17"/>
  <c r="CO45" i="17" s="1"/>
  <c r="BJ39" i="17"/>
  <c r="CO39" i="17" s="1"/>
  <c r="BL59" i="17"/>
  <c r="CQ59" i="17" s="1"/>
  <c r="AR50" i="17"/>
  <c r="BW50" i="17" s="1"/>
  <c r="BG58" i="17"/>
  <c r="CL58" i="17" s="1"/>
  <c r="BG40" i="17"/>
  <c r="CL40" i="17" s="1"/>
  <c r="AS45" i="17"/>
  <c r="BX45" i="17" s="1"/>
  <c r="BG42" i="17"/>
  <c r="CL42" i="17" s="1"/>
  <c r="BG45" i="17"/>
  <c r="CL45" i="17" s="1"/>
  <c r="BF53" i="17"/>
  <c r="CK53" i="17" s="1"/>
  <c r="BF55" i="17"/>
  <c r="CK55" i="17" s="1"/>
  <c r="BF47" i="17"/>
  <c r="CK47" i="17" s="1"/>
  <c r="AY38" i="17"/>
  <c r="CD38" i="17" s="1"/>
  <c r="AY53" i="17"/>
  <c r="CD53" i="17" s="1"/>
  <c r="AY47" i="17"/>
  <c r="CD47" i="17" s="1"/>
  <c r="BL41" i="17"/>
  <c r="CQ41" i="17" s="1"/>
  <c r="AS48" i="17"/>
  <c r="BX48" i="17" s="1"/>
  <c r="AR40" i="17"/>
  <c r="BW40" i="17" s="1"/>
  <c r="BG44" i="17"/>
  <c r="CL44" i="17" s="1"/>
  <c r="BL45" i="17"/>
  <c r="CQ45" i="17" s="1"/>
  <c r="BJ60" i="17"/>
  <c r="CO60" i="17" s="1"/>
  <c r="BA23" i="17"/>
  <c r="CF23" i="17" s="1"/>
  <c r="BG52" i="17"/>
  <c r="CL52" i="17" s="1"/>
  <c r="AR43" i="17"/>
  <c r="BW43" i="17" s="1"/>
  <c r="BG38" i="17"/>
  <c r="CL38" i="17" s="1"/>
  <c r="AZ29" i="17"/>
  <c r="CE29" i="17" s="1"/>
  <c r="AQ27" i="17"/>
  <c r="BV27" i="17" s="1"/>
  <c r="BA20" i="17"/>
  <c r="CF20" i="17" s="1"/>
  <c r="BA16" i="17"/>
  <c r="CF16" i="17" s="1"/>
  <c r="AR49" i="17"/>
  <c r="BW49" i="17" s="1"/>
  <c r="BG55" i="17"/>
  <c r="CL55" i="17" s="1"/>
  <c r="AR47" i="17"/>
  <c r="BW47" i="17" s="1"/>
  <c r="AQ10" i="17"/>
  <c r="BV10" i="17" s="1"/>
  <c r="BG51" i="17"/>
  <c r="CL51" i="17" s="1"/>
  <c r="BG50" i="17"/>
  <c r="CL50" i="17" s="1"/>
  <c r="BF49" i="17"/>
  <c r="CK49" i="17" s="1"/>
  <c r="BF57" i="17"/>
  <c r="CK57" i="17" s="1"/>
  <c r="BG60" i="17"/>
  <c r="CL60" i="17" s="1"/>
  <c r="AR53" i="17"/>
  <c r="BW53" i="17" s="1"/>
  <c r="BL60" i="17"/>
  <c r="CQ60" i="17" s="1"/>
  <c r="BG26" i="17"/>
  <c r="CL26" i="17" s="1"/>
  <c r="BG17" i="17"/>
  <c r="CL17" i="17" s="1"/>
  <c r="BG15" i="17"/>
  <c r="CL15" i="17" s="1"/>
  <c r="AZ9" i="17"/>
  <c r="CE9" i="17" s="1"/>
  <c r="AZ23" i="17"/>
  <c r="CE23" i="17" s="1"/>
  <c r="AZ26" i="17"/>
  <c r="CE26" i="17" s="1"/>
  <c r="AQ21" i="17"/>
  <c r="BV21" i="17" s="1"/>
  <c r="AQ15" i="17"/>
  <c r="BV15" i="17" s="1"/>
  <c r="AQ25" i="17"/>
  <c r="BV25" i="17" s="1"/>
  <c r="BA19" i="17"/>
  <c r="CF19" i="17" s="1"/>
  <c r="BA9" i="17"/>
  <c r="CF9" i="17" s="1"/>
  <c r="BA13" i="17"/>
  <c r="CF13" i="17" s="1"/>
  <c r="BK13" i="17"/>
  <c r="CP13" i="17" s="1"/>
  <c r="BK17" i="17"/>
  <c r="CP17" i="17" s="1"/>
  <c r="BK31" i="17"/>
  <c r="CP31" i="17" s="1"/>
  <c r="BJ52" i="17"/>
  <c r="CO52" i="17" s="1"/>
  <c r="BJ46" i="17"/>
  <c r="CO46" i="17" s="1"/>
  <c r="BL44" i="17"/>
  <c r="CQ44" i="17" s="1"/>
  <c r="AR56" i="17"/>
  <c r="BW56" i="17" s="1"/>
  <c r="AR41" i="17"/>
  <c r="BW41" i="17" s="1"/>
  <c r="AR55" i="17"/>
  <c r="BW55" i="17" s="1"/>
  <c r="AS54" i="17"/>
  <c r="BX54" i="17" s="1"/>
  <c r="BG57" i="17"/>
  <c r="CL57" i="17" s="1"/>
  <c r="BF38" i="17"/>
  <c r="CK38" i="17" s="1"/>
  <c r="BF58" i="17"/>
  <c r="CK58" i="17" s="1"/>
  <c r="BF56" i="17"/>
  <c r="CK56" i="17" s="1"/>
  <c r="AY59" i="17"/>
  <c r="CD59" i="17" s="1"/>
  <c r="AY51" i="17"/>
  <c r="CD51" i="17" s="1"/>
  <c r="AY54" i="17"/>
  <c r="CD54" i="17" s="1"/>
  <c r="AS37" i="17"/>
  <c r="BX37" i="17" s="1"/>
  <c r="BL58" i="17"/>
  <c r="CQ58" i="17" s="1"/>
  <c r="BL38" i="17"/>
  <c r="CQ38" i="17" s="1"/>
  <c r="BJ58" i="17"/>
  <c r="CO58" i="17" s="1"/>
  <c r="BG43" i="17"/>
  <c r="CL43" i="17" s="1"/>
  <c r="AR42" i="17"/>
  <c r="BW42" i="17" s="1"/>
  <c r="BG49" i="17"/>
  <c r="CL49" i="17" s="1"/>
  <c r="AR59" i="17"/>
  <c r="BW59" i="17" s="1"/>
  <c r="BJ56" i="17"/>
  <c r="CO56" i="17" s="1"/>
  <c r="AZ10" i="17"/>
  <c r="CE10" i="17" s="1"/>
  <c r="AZ28" i="17"/>
  <c r="CE28" i="17" s="1"/>
  <c r="AQ31" i="17"/>
  <c r="BV31" i="17" s="1"/>
  <c r="AQ26" i="17"/>
  <c r="BV26" i="17" s="1"/>
  <c r="BA22" i="17"/>
  <c r="CF22" i="17" s="1"/>
  <c r="BA14" i="17"/>
  <c r="CF14" i="17" s="1"/>
  <c r="BA28" i="17"/>
  <c r="CF28" i="17" s="1"/>
  <c r="BJ48" i="17"/>
  <c r="CO48" i="17" s="1"/>
  <c r="BJ43" i="17"/>
  <c r="CO43" i="17" s="1"/>
  <c r="BG12" i="17"/>
  <c r="CL12" i="17" s="1"/>
  <c r="BG8" i="17"/>
  <c r="CL8" i="17" s="1"/>
  <c r="BG13" i="17"/>
  <c r="CL13" i="17" s="1"/>
  <c r="AZ11" i="17"/>
  <c r="CE11" i="17" s="1"/>
  <c r="AZ20" i="17"/>
  <c r="CE20" i="17" s="1"/>
  <c r="AZ21" i="17"/>
  <c r="CE21" i="17" s="1"/>
  <c r="AQ24" i="17"/>
  <c r="BV24" i="17" s="1"/>
  <c r="AQ22" i="17"/>
  <c r="BV22" i="17" s="1"/>
  <c r="AQ20" i="17"/>
  <c r="BV20" i="17" s="1"/>
  <c r="BA29" i="17"/>
  <c r="CF29" i="17" s="1"/>
  <c r="BA11" i="17"/>
  <c r="CF11" i="17" s="1"/>
  <c r="BA27" i="17"/>
  <c r="CF27" i="17" s="1"/>
  <c r="BK25" i="17"/>
  <c r="CP25" i="17" s="1"/>
  <c r="BK10" i="17"/>
  <c r="CP10" i="17" s="1"/>
  <c r="BK12" i="17"/>
  <c r="CP12" i="17" s="1"/>
  <c r="BJ55" i="17"/>
  <c r="CO55" i="17" s="1"/>
  <c r="BL48" i="17"/>
  <c r="CQ48" i="17" s="1"/>
  <c r="AR51" i="17"/>
  <c r="BW51" i="17" s="1"/>
  <c r="AS60" i="17"/>
  <c r="BX60" i="17" s="1"/>
  <c r="AR60" i="17"/>
  <c r="BW60" i="17" s="1"/>
  <c r="BG48" i="17"/>
  <c r="CL48" i="17" s="1"/>
  <c r="AS53" i="17"/>
  <c r="BX53" i="17" s="1"/>
  <c r="BG54" i="17"/>
  <c r="CL54" i="17" s="1"/>
  <c r="BG59" i="17"/>
  <c r="CL59" i="17" s="1"/>
  <c r="AR52" i="17"/>
  <c r="BW52" i="17" s="1"/>
  <c r="BF45" i="17"/>
  <c r="CK45" i="17" s="1"/>
  <c r="BF50" i="17"/>
  <c r="CK50" i="17" s="1"/>
  <c r="BF37" i="17"/>
  <c r="CK37" i="17" s="1"/>
  <c r="AY46" i="17"/>
  <c r="CD46" i="17" s="1"/>
  <c r="AY58" i="17"/>
  <c r="CD58" i="17" s="1"/>
  <c r="AY49" i="17"/>
  <c r="CD49" i="17" s="1"/>
  <c r="AS42" i="17"/>
  <c r="BX42" i="17" s="1"/>
  <c r="BL46" i="17"/>
  <c r="CQ46" i="17" s="1"/>
  <c r="BL55" i="17"/>
  <c r="CQ55" i="17" s="1"/>
  <c r="BJ42" i="17"/>
  <c r="CO42" i="17" s="1"/>
  <c r="BJ57" i="17"/>
  <c r="CO57" i="17" s="1"/>
  <c r="BA8" i="17"/>
  <c r="CF8" i="17" s="1"/>
  <c r="BA12" i="17"/>
  <c r="CF12" i="17" s="1"/>
  <c r="BJ49" i="17"/>
  <c r="CO49" i="17" s="1"/>
  <c r="AR48" i="17"/>
  <c r="BW48" i="17" s="1"/>
  <c r="BF60" i="17"/>
  <c r="CK60" i="17" s="1"/>
  <c r="BF39" i="17"/>
  <c r="CK39" i="17" s="1"/>
  <c r="BF44" i="17"/>
  <c r="CK44" i="17" s="1"/>
  <c r="BJ50" i="17"/>
  <c r="CO50" i="17" s="1"/>
  <c r="AQ8" i="17"/>
  <c r="BV8" i="17" s="1"/>
  <c r="BF51" i="17"/>
  <c r="CK51" i="17" s="1"/>
  <c r="BF59" i="17"/>
  <c r="CK59" i="17" s="1"/>
  <c r="BF43" i="17"/>
  <c r="CK43" i="17" s="1"/>
  <c r="AR46" i="17"/>
  <c r="BW46" i="17" s="1"/>
  <c r="BJ59" i="17"/>
  <c r="CO59" i="17" s="1"/>
  <c r="BG53" i="17"/>
  <c r="CL53" i="17" s="1"/>
  <c r="BG14" i="17"/>
  <c r="CL14" i="17" s="1"/>
  <c r="BG19" i="17"/>
  <c r="CL19" i="17" s="1"/>
  <c r="AZ17" i="17"/>
  <c r="CE17" i="17" s="1"/>
  <c r="AZ30" i="17"/>
  <c r="CE30" i="17" s="1"/>
  <c r="AQ29" i="17"/>
  <c r="BV29" i="17" s="1"/>
  <c r="AQ12" i="17"/>
  <c r="BV12" i="17" s="1"/>
  <c r="BA18" i="17"/>
  <c r="CF18" i="17" s="1"/>
  <c r="BA15" i="17"/>
  <c r="CF15" i="17" s="1"/>
  <c r="BK24" i="17"/>
  <c r="CP24" i="17" s="1"/>
  <c r="BK18" i="17"/>
  <c r="CP18" i="17" s="1"/>
  <c r="BJ41" i="17"/>
  <c r="CO41" i="17" s="1"/>
  <c r="BL39" i="17"/>
  <c r="CQ39" i="17" s="1"/>
  <c r="AS47" i="17"/>
  <c r="BX47" i="17" s="1"/>
  <c r="AS46" i="17"/>
  <c r="BX46" i="17" s="1"/>
  <c r="BG56" i="17"/>
  <c r="CL56" i="17" s="1"/>
  <c r="BG39" i="17"/>
  <c r="CL39" i="17" s="1"/>
  <c r="BJ47" i="17"/>
  <c r="CO47" i="17" s="1"/>
  <c r="AR37" i="17"/>
  <c r="BW37" i="17" s="1"/>
  <c r="BF52" i="17"/>
  <c r="CK52" i="17" s="1"/>
  <c r="BF42" i="17"/>
  <c r="CK42" i="17" s="1"/>
  <c r="AY40" i="17"/>
  <c r="CD40" i="17" s="1"/>
  <c r="AY55" i="17"/>
  <c r="CD55" i="17" s="1"/>
  <c r="BG41" i="17"/>
  <c r="CL41" i="17" s="1"/>
  <c r="BJ37" i="17"/>
  <c r="CO37" i="17" s="1"/>
  <c r="BL37" i="17"/>
  <c r="CQ37" i="17" s="1"/>
  <c r="BL51" i="17"/>
  <c r="CQ51" i="17" s="1"/>
  <c r="G68" i="5"/>
  <c r="H68" i="5" s="1"/>
  <c r="J72" i="9"/>
  <c r="AX23" i="17"/>
  <c r="CC23" i="17" s="1"/>
  <c r="BI12" i="17"/>
  <c r="CN12" i="17" s="1"/>
  <c r="AX13" i="17"/>
  <c r="CC13" i="17" s="1"/>
  <c r="AX18" i="17"/>
  <c r="CC18" i="17" s="1"/>
  <c r="AS8" i="17"/>
  <c r="BX8" i="17" s="1"/>
  <c r="AX12" i="17"/>
  <c r="CC12" i="17" s="1"/>
  <c r="AX26" i="17"/>
  <c r="CC26" i="17" s="1"/>
  <c r="AX20" i="17"/>
  <c r="CC20" i="17" s="1"/>
  <c r="AX10" i="17"/>
  <c r="CC10" i="17" s="1"/>
  <c r="AS28" i="17"/>
  <c r="BX28" i="17" s="1"/>
  <c r="AS23" i="17"/>
  <c r="BX23" i="17" s="1"/>
  <c r="AX17" i="17"/>
  <c r="CC17" i="17" s="1"/>
  <c r="AS18" i="17"/>
  <c r="BX18" i="17" s="1"/>
  <c r="AX25" i="17"/>
  <c r="CC25" i="17" s="1"/>
  <c r="AX8" i="17"/>
  <c r="CC8" i="17" s="1"/>
  <c r="AX22" i="17"/>
  <c r="CC22" i="17" s="1"/>
  <c r="AX19" i="17"/>
  <c r="CC19" i="17" s="1"/>
  <c r="AX9" i="17"/>
  <c r="CC9" i="17" s="1"/>
  <c r="AX16" i="17"/>
  <c r="CC16" i="17" s="1"/>
  <c r="AX21" i="17"/>
  <c r="CC21" i="17" s="1"/>
  <c r="AX30" i="17"/>
  <c r="CC30" i="17" s="1"/>
  <c r="AX31" i="17"/>
  <c r="CC31" i="17" s="1"/>
  <c r="AX15" i="17"/>
  <c r="CC15" i="17" s="1"/>
  <c r="AX24" i="17"/>
  <c r="CC24" i="17" s="1"/>
  <c r="AX28" i="17"/>
  <c r="CC28" i="17" s="1"/>
  <c r="AX14" i="17"/>
  <c r="CC14" i="17" s="1"/>
  <c r="AX29" i="17"/>
  <c r="CC29" i="17" s="1"/>
  <c r="AX11" i="17"/>
  <c r="CC11" i="17" s="1"/>
  <c r="BI19" i="17"/>
  <c r="CN19" i="17" s="1"/>
  <c r="BI15" i="17"/>
  <c r="CN15" i="17" s="1"/>
  <c r="BI27" i="17"/>
  <c r="CN27" i="17" s="1"/>
  <c r="BI24" i="17"/>
  <c r="CN24" i="17" s="1"/>
  <c r="BI18" i="17"/>
  <c r="CN18" i="17" s="1"/>
  <c r="AS17" i="17"/>
  <c r="BX17" i="17" s="1"/>
  <c r="AS10" i="17"/>
  <c r="BX10" i="17" s="1"/>
  <c r="BC39" i="17"/>
  <c r="CH39" i="17" s="1"/>
  <c r="BC53" i="17"/>
  <c r="CH53" i="17" s="1"/>
  <c r="BC52" i="17"/>
  <c r="CH52" i="17" s="1"/>
  <c r="BC43" i="17"/>
  <c r="CH43" i="17" s="1"/>
  <c r="BC48" i="17"/>
  <c r="CH48" i="17" s="1"/>
  <c r="BC38" i="17"/>
  <c r="CH38" i="17" s="1"/>
  <c r="BC57" i="17"/>
  <c r="CH57" i="17" s="1"/>
  <c r="BC51" i="17"/>
  <c r="CH51" i="17" s="1"/>
  <c r="BC47" i="17"/>
  <c r="CH47" i="17" s="1"/>
  <c r="BC40" i="17"/>
  <c r="CH40" i="17" s="1"/>
  <c r="BC50" i="17"/>
  <c r="CH50" i="17" s="1"/>
  <c r="BC54" i="17"/>
  <c r="CH54" i="17" s="1"/>
  <c r="BC44" i="17"/>
  <c r="CH44" i="17" s="1"/>
  <c r="BC60" i="17"/>
  <c r="CH60" i="17" s="1"/>
  <c r="BC55" i="17"/>
  <c r="CH55" i="17" s="1"/>
  <c r="BC37" i="17"/>
  <c r="CH37" i="17" s="1"/>
  <c r="BC41" i="17"/>
  <c r="CH41" i="17" s="1"/>
  <c r="BC42" i="17"/>
  <c r="CH42" i="17" s="1"/>
  <c r="BC59" i="17"/>
  <c r="CH59" i="17" s="1"/>
  <c r="BC46" i="17"/>
  <c r="CH46" i="17" s="1"/>
  <c r="BC49" i="17"/>
  <c r="CH49" i="17" s="1"/>
  <c r="BC56" i="17"/>
  <c r="CH56" i="17" s="1"/>
  <c r="BC58" i="17"/>
  <c r="CH58" i="17" s="1"/>
  <c r="BC45" i="17"/>
  <c r="CH45" i="17" s="1"/>
  <c r="AS14" i="17"/>
  <c r="BX14" i="17" s="1"/>
  <c r="BI44" i="17"/>
  <c r="CN44" i="17" s="1"/>
  <c r="BI42" i="17"/>
  <c r="CN42" i="17" s="1"/>
  <c r="BI51" i="17"/>
  <c r="CN51" i="17" s="1"/>
  <c r="BI47" i="17"/>
  <c r="CN47" i="17" s="1"/>
  <c r="BI38" i="17"/>
  <c r="CN38" i="17" s="1"/>
  <c r="BI58" i="17"/>
  <c r="CN58" i="17" s="1"/>
  <c r="BI43" i="17"/>
  <c r="CN43" i="17" s="1"/>
  <c r="BI50" i="17"/>
  <c r="CN50" i="17" s="1"/>
  <c r="BI59" i="17"/>
  <c r="CN59" i="17" s="1"/>
  <c r="BI60" i="17"/>
  <c r="CN60" i="17" s="1"/>
  <c r="BI57" i="17"/>
  <c r="CN57" i="17" s="1"/>
  <c r="BI37" i="17"/>
  <c r="CN37" i="17" s="1"/>
  <c r="BI55" i="17"/>
  <c r="CN55" i="17" s="1"/>
  <c r="BI56" i="17"/>
  <c r="CN56" i="17" s="1"/>
  <c r="BI54" i="17"/>
  <c r="CN54" i="17" s="1"/>
  <c r="BI46" i="17"/>
  <c r="CN46" i="17" s="1"/>
  <c r="BI48" i="17"/>
  <c r="CN48" i="17" s="1"/>
  <c r="BI45" i="17"/>
  <c r="CN45" i="17" s="1"/>
  <c r="BI52" i="17"/>
  <c r="CN52" i="17" s="1"/>
  <c r="BI39" i="17"/>
  <c r="CN39" i="17" s="1"/>
  <c r="BI41" i="17"/>
  <c r="CN41" i="17" s="1"/>
  <c r="BI53" i="17"/>
  <c r="CN53" i="17" s="1"/>
  <c r="BI49" i="17"/>
  <c r="CN49" i="17" s="1"/>
  <c r="BI40" i="17"/>
  <c r="CN40" i="17" s="1"/>
  <c r="AT41" i="17"/>
  <c r="BY41" i="17" s="1"/>
  <c r="AT49" i="17"/>
  <c r="BY49" i="17" s="1"/>
  <c r="AT56" i="17"/>
  <c r="BY56" i="17" s="1"/>
  <c r="AT39" i="17"/>
  <c r="BY39" i="17" s="1"/>
  <c r="AT51" i="17"/>
  <c r="BY51" i="17" s="1"/>
  <c r="AT53" i="17"/>
  <c r="BY53" i="17" s="1"/>
  <c r="AT43" i="17"/>
  <c r="BY43" i="17" s="1"/>
  <c r="AT58" i="17"/>
  <c r="BY58" i="17" s="1"/>
  <c r="AT52" i="17"/>
  <c r="BY52" i="17" s="1"/>
  <c r="AT54" i="17"/>
  <c r="BY54" i="17" s="1"/>
  <c r="AT60" i="17"/>
  <c r="BY60" i="17" s="1"/>
  <c r="AT40" i="17"/>
  <c r="BY40" i="17" s="1"/>
  <c r="AT46" i="17"/>
  <c r="BY46" i="17" s="1"/>
  <c r="AT47" i="17"/>
  <c r="BY47" i="17" s="1"/>
  <c r="AT37" i="17"/>
  <c r="BY37" i="17" s="1"/>
  <c r="AT55" i="17"/>
  <c r="BY55" i="17" s="1"/>
  <c r="AT48" i="17"/>
  <c r="BY48" i="17" s="1"/>
  <c r="AT59" i="17"/>
  <c r="BY59" i="17" s="1"/>
  <c r="AT50" i="17"/>
  <c r="BY50" i="17" s="1"/>
  <c r="AT42" i="17"/>
  <c r="BY42" i="17" s="1"/>
  <c r="AT45" i="17"/>
  <c r="BY45" i="17" s="1"/>
  <c r="AT57" i="17"/>
  <c r="BY57" i="17" s="1"/>
  <c r="AT44" i="17"/>
  <c r="BY44" i="17" s="1"/>
  <c r="AT38" i="17"/>
  <c r="BY38" i="17" s="1"/>
  <c r="AA118" i="3"/>
  <c r="AS12" i="17"/>
  <c r="BX12" i="17" s="1"/>
  <c r="E60" i="17"/>
  <c r="AU47" i="17"/>
  <c r="BZ47" i="17" s="1"/>
  <c r="AU59" i="17"/>
  <c r="BZ59" i="17" s="1"/>
  <c r="AU54" i="17"/>
  <c r="BZ54" i="17" s="1"/>
  <c r="AU46" i="17"/>
  <c r="BZ46" i="17" s="1"/>
  <c r="AU55" i="17"/>
  <c r="BZ55" i="17" s="1"/>
  <c r="AU51" i="17"/>
  <c r="BZ51" i="17" s="1"/>
  <c r="AU58" i="17"/>
  <c r="BZ58" i="17" s="1"/>
  <c r="AU40" i="17"/>
  <c r="BZ40" i="17" s="1"/>
  <c r="AU37" i="17"/>
  <c r="BZ37" i="17" s="1"/>
  <c r="AU38" i="17"/>
  <c r="BZ38" i="17" s="1"/>
  <c r="AU43" i="17"/>
  <c r="BZ43" i="17" s="1"/>
  <c r="AU57" i="17"/>
  <c r="BZ57" i="17" s="1"/>
  <c r="AU44" i="17"/>
  <c r="BZ44" i="17" s="1"/>
  <c r="AU41" i="17"/>
  <c r="BZ41" i="17" s="1"/>
  <c r="AU60" i="17"/>
  <c r="BZ60" i="17" s="1"/>
  <c r="AU48" i="17"/>
  <c r="BZ48" i="17" s="1"/>
  <c r="AU49" i="17"/>
  <c r="BZ49" i="17" s="1"/>
  <c r="AU39" i="17"/>
  <c r="BZ39" i="17" s="1"/>
  <c r="AU53" i="17"/>
  <c r="BZ53" i="17" s="1"/>
  <c r="AU42" i="17"/>
  <c r="BZ42" i="17" s="1"/>
  <c r="AU45" i="17"/>
  <c r="BZ45" i="17" s="1"/>
  <c r="AU56" i="17"/>
  <c r="BZ56" i="17" s="1"/>
  <c r="AU50" i="17"/>
  <c r="BZ50" i="17" s="1"/>
  <c r="AU52" i="17"/>
  <c r="BZ52" i="17" s="1"/>
  <c r="AW26" i="17"/>
  <c r="CB26" i="17" s="1"/>
  <c r="AS16" i="17"/>
  <c r="BX16" i="17" s="1"/>
  <c r="AW59" i="17"/>
  <c r="CB59" i="17" s="1"/>
  <c r="AW54" i="17"/>
  <c r="CB54" i="17" s="1"/>
  <c r="AW53" i="17"/>
  <c r="CB53" i="17" s="1"/>
  <c r="AW58" i="17"/>
  <c r="CB58" i="17" s="1"/>
  <c r="AW41" i="17"/>
  <c r="CB41" i="17" s="1"/>
  <c r="AW47" i="17"/>
  <c r="CB47" i="17" s="1"/>
  <c r="AW40" i="17"/>
  <c r="CB40" i="17" s="1"/>
  <c r="AW57" i="17"/>
  <c r="CB57" i="17" s="1"/>
  <c r="AW38" i="17"/>
  <c r="CB38" i="17" s="1"/>
  <c r="AW44" i="17"/>
  <c r="CB44" i="17" s="1"/>
  <c r="AW50" i="17"/>
  <c r="CB50" i="17" s="1"/>
  <c r="AW60" i="17"/>
  <c r="CB60" i="17" s="1"/>
  <c r="AW42" i="17"/>
  <c r="CB42" i="17" s="1"/>
  <c r="AW52" i="17"/>
  <c r="CB52" i="17" s="1"/>
  <c r="AW45" i="17"/>
  <c r="CB45" i="17" s="1"/>
  <c r="AW39" i="17"/>
  <c r="CB39" i="17" s="1"/>
  <c r="AW43" i="17"/>
  <c r="CB43" i="17" s="1"/>
  <c r="AW56" i="17"/>
  <c r="CB56" i="17" s="1"/>
  <c r="AW49" i="17"/>
  <c r="CB49" i="17" s="1"/>
  <c r="AW51" i="17"/>
  <c r="CB51" i="17" s="1"/>
  <c r="AW46" i="17"/>
  <c r="CB46" i="17" s="1"/>
  <c r="AW37" i="17"/>
  <c r="CB37" i="17" s="1"/>
  <c r="AW55" i="17"/>
  <c r="CB55" i="17" s="1"/>
  <c r="AW48" i="17"/>
  <c r="CB48" i="17" s="1"/>
  <c r="E31" i="17"/>
  <c r="AS22" i="17"/>
  <c r="BX22" i="17" s="1"/>
  <c r="AS11" i="17"/>
  <c r="BX11" i="17" s="1"/>
  <c r="AS15" i="17"/>
  <c r="BX15" i="17" s="1"/>
  <c r="AS29" i="17"/>
  <c r="BX29" i="17" s="1"/>
  <c r="AS25" i="17"/>
  <c r="BX25" i="17" s="1"/>
  <c r="AS24" i="17"/>
  <c r="BX24" i="17" s="1"/>
  <c r="AS30" i="17"/>
  <c r="BX30" i="17" s="1"/>
  <c r="AS31" i="17"/>
  <c r="BX31" i="17" s="1"/>
  <c r="AS19" i="17"/>
  <c r="BX19" i="17" s="1"/>
  <c r="AS21" i="17"/>
  <c r="BX21" i="17" s="1"/>
  <c r="AS27" i="17"/>
  <c r="BX27" i="17" s="1"/>
  <c r="AS9" i="17"/>
  <c r="BX9" i="17" s="1"/>
  <c r="AW8" i="17"/>
  <c r="CB8" i="17" s="1"/>
  <c r="AS20" i="17"/>
  <c r="BX20" i="17" s="1"/>
  <c r="AS13" i="17"/>
  <c r="BX13" i="17" s="1"/>
  <c r="AW16" i="17"/>
  <c r="CB16" i="17" s="1"/>
  <c r="AW22" i="17"/>
  <c r="CB22" i="17" s="1"/>
  <c r="AW18" i="17"/>
  <c r="CB18" i="17" s="1"/>
  <c r="AW25" i="17"/>
  <c r="CB25" i="17" s="1"/>
  <c r="AW27" i="17"/>
  <c r="CB27" i="17" s="1"/>
  <c r="AW21" i="17"/>
  <c r="CB21" i="17" s="1"/>
  <c r="AW14" i="17"/>
  <c r="CB14" i="17" s="1"/>
  <c r="AW24" i="17"/>
  <c r="CB24" i="17" s="1"/>
  <c r="AW23" i="17"/>
  <c r="CB23" i="17" s="1"/>
  <c r="AW11" i="17"/>
  <c r="CB11" i="17" s="1"/>
  <c r="BI28" i="17"/>
  <c r="CN28" i="17" s="1"/>
  <c r="BI13" i="17"/>
  <c r="CN13" i="17" s="1"/>
  <c r="BI22" i="17"/>
  <c r="CN22" i="17" s="1"/>
  <c r="AW15" i="17"/>
  <c r="CB15" i="17" s="1"/>
  <c r="AW20" i="17"/>
  <c r="CB20" i="17" s="1"/>
  <c r="AW28" i="17"/>
  <c r="CB28" i="17" s="1"/>
  <c r="BI30" i="17"/>
  <c r="CN30" i="17" s="1"/>
  <c r="BI31" i="17"/>
  <c r="CN31" i="17" s="1"/>
  <c r="BI25" i="17"/>
  <c r="CN25" i="17" s="1"/>
  <c r="AW17" i="17"/>
  <c r="CB17" i="17" s="1"/>
  <c r="AW9" i="17"/>
  <c r="CB9" i="17" s="1"/>
  <c r="AW13" i="17"/>
  <c r="CB13" i="17" s="1"/>
  <c r="BI8" i="17"/>
  <c r="CN8" i="17" s="1"/>
  <c r="BI14" i="17"/>
  <c r="CN14" i="17" s="1"/>
  <c r="BI21" i="17"/>
  <c r="CN21" i="17" s="1"/>
  <c r="BI11" i="17"/>
  <c r="CN11" i="17" s="1"/>
  <c r="BI9" i="17"/>
  <c r="CN9" i="17" s="1"/>
  <c r="AW12" i="17"/>
  <c r="CB12" i="17" s="1"/>
  <c r="AW10" i="17"/>
  <c r="CB10" i="17" s="1"/>
  <c r="AW30" i="17"/>
  <c r="CB30" i="17" s="1"/>
  <c r="BI26" i="17"/>
  <c r="CN26" i="17" s="1"/>
  <c r="BI17" i="17"/>
  <c r="CN17" i="17" s="1"/>
  <c r="BI29" i="17"/>
  <c r="CN29" i="17" s="1"/>
  <c r="BI16" i="17"/>
  <c r="CN16" i="17" s="1"/>
  <c r="AW31" i="17"/>
  <c r="CB31" i="17" s="1"/>
  <c r="AW29" i="17"/>
  <c r="CB29" i="17" s="1"/>
  <c r="BI23" i="17"/>
  <c r="CN23" i="17" s="1"/>
  <c r="BI10" i="17"/>
  <c r="CN10" i="17" s="1"/>
  <c r="G22" i="9" l="1"/>
  <c r="G27" i="9" s="1"/>
  <c r="G45" i="9"/>
  <c r="G50" i="9" s="1"/>
  <c r="G8" i="9"/>
  <c r="G10" i="9"/>
  <c r="B357" i="13" s="1"/>
  <c r="F212" i="13" s="1"/>
  <c r="G212" i="13" s="1"/>
  <c r="BS17" i="17"/>
  <c r="BS25" i="17"/>
  <c r="G57" i="9"/>
  <c r="G62" i="9" s="1"/>
  <c r="G43" i="9"/>
  <c r="G48" i="9" s="1"/>
  <c r="G46" i="9"/>
  <c r="G51" i="9" s="1"/>
  <c r="G23" i="9"/>
  <c r="G28" i="9" s="1"/>
  <c r="G54" i="9"/>
  <c r="G59" i="9" s="1"/>
  <c r="G25" i="9"/>
  <c r="G30" i="9" s="1"/>
  <c r="G44" i="9"/>
  <c r="G49" i="9" s="1"/>
  <c r="G55" i="9"/>
  <c r="G60" i="9" s="1"/>
  <c r="G56" i="9"/>
  <c r="G61" i="9" s="1"/>
  <c r="G17" i="9"/>
  <c r="G18" i="9" s="1"/>
  <c r="E90" i="5" s="1"/>
  <c r="BY32" i="17"/>
  <c r="J38" i="9"/>
  <c r="M7" i="11" s="1"/>
  <c r="G91" i="5"/>
  <c r="J39" i="9"/>
  <c r="N7" i="11" s="1"/>
  <c r="J40" i="9"/>
  <c r="O7" i="11" s="1"/>
  <c r="J37" i="9"/>
  <c r="L7" i="11" s="1"/>
  <c r="E30" i="17"/>
  <c r="E32" i="17" s="1"/>
  <c r="E59" i="17"/>
  <c r="E61" i="17" s="1"/>
  <c r="M10" i="11"/>
  <c r="L10" i="11"/>
  <c r="N10" i="11"/>
  <c r="O10" i="11"/>
  <c r="X69" i="3"/>
  <c r="D357" i="13"/>
  <c r="L211" i="13" s="1"/>
  <c r="M211" i="13" s="1"/>
  <c r="BS12" i="17"/>
  <c r="BS8" i="17"/>
  <c r="BZ32" i="17"/>
  <c r="D9" i="10"/>
  <c r="F9" i="10" s="1"/>
  <c r="G9" i="10" s="1"/>
  <c r="CG13" i="17"/>
  <c r="CJ32" i="17"/>
  <c r="CK32" i="17"/>
  <c r="BS26" i="17"/>
  <c r="CG18" i="17"/>
  <c r="BU26" i="17"/>
  <c r="CG31" i="17"/>
  <c r="CG20" i="17"/>
  <c r="CG8" i="17"/>
  <c r="CJ61" i="17"/>
  <c r="CG11" i="17"/>
  <c r="CL61" i="17"/>
  <c r="CG28" i="17"/>
  <c r="CG10" i="17"/>
  <c r="CG9" i="17"/>
  <c r="CR32" i="17"/>
  <c r="CI32" i="17"/>
  <c r="CI61" i="17"/>
  <c r="CG26" i="17"/>
  <c r="CQ32" i="17"/>
  <c r="CP61" i="17"/>
  <c r="CG19" i="17"/>
  <c r="CG23" i="17"/>
  <c r="CG12" i="17"/>
  <c r="CL32" i="17"/>
  <c r="CG27" i="17"/>
  <c r="CE61" i="17"/>
  <c r="CG22" i="17"/>
  <c r="CG21" i="17"/>
  <c r="CG16" i="17"/>
  <c r="CG29" i="17"/>
  <c r="CG25" i="17"/>
  <c r="CG14" i="17"/>
  <c r="BS18" i="17"/>
  <c r="BR50" i="17"/>
  <c r="BS30" i="17"/>
  <c r="BS24" i="17"/>
  <c r="BS19" i="17"/>
  <c r="BS11" i="17"/>
  <c r="BT21" i="17"/>
  <c r="BR44" i="17"/>
  <c r="BS27" i="17"/>
  <c r="BR39" i="17"/>
  <c r="BR51" i="17"/>
  <c r="BR46" i="17"/>
  <c r="BS28" i="17"/>
  <c r="BQ43" i="17"/>
  <c r="BT16" i="17"/>
  <c r="BQ38" i="17"/>
  <c r="CF61" i="17"/>
  <c r="BT25" i="17"/>
  <c r="BR52" i="17"/>
  <c r="BS31" i="17"/>
  <c r="BS10" i="17"/>
  <c r="BQ56" i="17"/>
  <c r="BS15" i="17"/>
  <c r="BS21" i="17"/>
  <c r="BT28" i="17"/>
  <c r="BT10" i="17"/>
  <c r="BQ52" i="17"/>
  <c r="BT24" i="17"/>
  <c r="CG24" i="17"/>
  <c r="BQ53" i="17"/>
  <c r="CD61" i="17"/>
  <c r="BR58" i="17"/>
  <c r="BT9" i="17"/>
  <c r="BS9" i="17"/>
  <c r="BS29" i="17"/>
  <c r="BQ58" i="17"/>
  <c r="BT26" i="17"/>
  <c r="BQ45" i="17"/>
  <c r="BQ27" i="17"/>
  <c r="BR57" i="17"/>
  <c r="CG30" i="17"/>
  <c r="BR43" i="17"/>
  <c r="CG17" i="17"/>
  <c r="BR45" i="17"/>
  <c r="BR56" i="17"/>
  <c r="BQ47" i="17"/>
  <c r="BR38" i="17"/>
  <c r="BR40" i="17"/>
  <c r="BR47" i="17"/>
  <c r="BR26" i="17"/>
  <c r="BR53" i="17"/>
  <c r="BS14" i="17"/>
  <c r="BS22" i="17"/>
  <c r="BQ60" i="17"/>
  <c r="BT31" i="17"/>
  <c r="BR60" i="17"/>
  <c r="BT11" i="17"/>
  <c r="BT19" i="17"/>
  <c r="BQ39" i="17"/>
  <c r="BT23" i="17"/>
  <c r="BT17" i="17"/>
  <c r="BT30" i="17"/>
  <c r="BS20" i="17"/>
  <c r="CG15" i="17"/>
  <c r="BR59" i="17"/>
  <c r="BR49" i="17"/>
  <c r="BQ48" i="17"/>
  <c r="BR37" i="17"/>
  <c r="BR54" i="17"/>
  <c r="BQ49" i="17"/>
  <c r="BS16" i="17"/>
  <c r="BV32" i="17"/>
  <c r="BS13" i="17"/>
  <c r="BR41" i="17"/>
  <c r="CM20" i="17"/>
  <c r="CQ61" i="17"/>
  <c r="BS23" i="17"/>
  <c r="CO61" i="17"/>
  <c r="BW61" i="17"/>
  <c r="BU8" i="17"/>
  <c r="CF32" i="17"/>
  <c r="BT13" i="17"/>
  <c r="CE32" i="17"/>
  <c r="BT20" i="17"/>
  <c r="BQ54" i="17"/>
  <c r="CD32" i="17"/>
  <c r="BT18" i="17"/>
  <c r="CR61" i="17"/>
  <c r="CH32" i="17"/>
  <c r="BR48" i="17"/>
  <c r="BR55" i="17"/>
  <c r="CO32" i="17"/>
  <c r="BW32" i="17"/>
  <c r="BX61" i="17"/>
  <c r="CP32" i="17"/>
  <c r="BV61" i="17"/>
  <c r="BQ44" i="17"/>
  <c r="CC61" i="17"/>
  <c r="BR42" i="17"/>
  <c r="BT14" i="17"/>
  <c r="BQ50" i="17"/>
  <c r="BQ57" i="17"/>
  <c r="CK61" i="17"/>
  <c r="BT27" i="17"/>
  <c r="BT22" i="17"/>
  <c r="BQ42" i="17"/>
  <c r="BT15" i="17"/>
  <c r="BQ51" i="17"/>
  <c r="BT29" i="17"/>
  <c r="BT8" i="17"/>
  <c r="BQ46" i="17"/>
  <c r="BQ40" i="17"/>
  <c r="BQ37" i="17"/>
  <c r="BQ41" i="17"/>
  <c r="BT12" i="17"/>
  <c r="BQ59" i="17"/>
  <c r="BQ55" i="17"/>
  <c r="G94" i="5"/>
  <c r="D56" i="10"/>
  <c r="F56" i="10" s="1"/>
  <c r="D62" i="10"/>
  <c r="F62" i="10" s="1"/>
  <c r="D61" i="10"/>
  <c r="F61" i="10" s="1"/>
  <c r="D48" i="10"/>
  <c r="F48" i="10" s="1"/>
  <c r="D63" i="10"/>
  <c r="F63" i="10" s="1"/>
  <c r="D52" i="10"/>
  <c r="F52" i="10" s="1"/>
  <c r="D46" i="10"/>
  <c r="F46" i="10" s="1"/>
  <c r="D59" i="10"/>
  <c r="F59" i="10" s="1"/>
  <c r="D49" i="10"/>
  <c r="F49" i="10" s="1"/>
  <c r="D60" i="10"/>
  <c r="F60" i="10" s="1"/>
  <c r="D58" i="10"/>
  <c r="F58" i="10" s="1"/>
  <c r="D64" i="10"/>
  <c r="F64" i="10" s="1"/>
  <c r="D57" i="10"/>
  <c r="F57" i="10" s="1"/>
  <c r="D51" i="10"/>
  <c r="F51" i="10" s="1"/>
  <c r="D45" i="10"/>
  <c r="F45" i="10" s="1"/>
  <c r="D44" i="10"/>
  <c r="F44" i="10" s="1"/>
  <c r="D65" i="10"/>
  <c r="F65" i="10" s="1"/>
  <c r="D54" i="10"/>
  <c r="F54" i="10" s="1"/>
  <c r="D66" i="10"/>
  <c r="F66" i="10" s="1"/>
  <c r="D47" i="10"/>
  <c r="F47" i="10" s="1"/>
  <c r="D50" i="10"/>
  <c r="F50" i="10" s="1"/>
  <c r="D55" i="10"/>
  <c r="F55" i="10" s="1"/>
  <c r="D43" i="10"/>
  <c r="F43" i="10" s="1"/>
  <c r="G43" i="10" s="1"/>
  <c r="D53" i="10"/>
  <c r="F53" i="10" s="1"/>
  <c r="CM12" i="17"/>
  <c r="BU24" i="17"/>
  <c r="BU38" i="17"/>
  <c r="BU55" i="17"/>
  <c r="BU58" i="17"/>
  <c r="BU49" i="17"/>
  <c r="BR23" i="17"/>
  <c r="BR16" i="17"/>
  <c r="BU43" i="17"/>
  <c r="CA27" i="17"/>
  <c r="BU47" i="17"/>
  <c r="BU22" i="17"/>
  <c r="BU50" i="17"/>
  <c r="BR12" i="17"/>
  <c r="BU37" i="17"/>
  <c r="BU15" i="17"/>
  <c r="BU45" i="17"/>
  <c r="BU46" i="17"/>
  <c r="CM16" i="17"/>
  <c r="CM14" i="17"/>
  <c r="BU52" i="17"/>
  <c r="CM27" i="17"/>
  <c r="BU44" i="17"/>
  <c r="BU39" i="17"/>
  <c r="BU23" i="17"/>
  <c r="BQ23" i="17"/>
  <c r="BQ22" i="17"/>
  <c r="BQ20" i="17"/>
  <c r="BQ24" i="17"/>
  <c r="BQ13" i="17"/>
  <c r="BQ18" i="17"/>
  <c r="BQ17" i="17"/>
  <c r="CM25" i="17"/>
  <c r="BR18" i="17"/>
  <c r="BQ19" i="17"/>
  <c r="BQ12" i="17"/>
  <c r="CM23" i="17"/>
  <c r="CA24" i="17"/>
  <c r="BQ10" i="17"/>
  <c r="BR8" i="17"/>
  <c r="CA22" i="17"/>
  <c r="BQ15" i="17"/>
  <c r="CA19" i="17"/>
  <c r="BQ28" i="17"/>
  <c r="BR28" i="17"/>
  <c r="CM19" i="17"/>
  <c r="BU16" i="17"/>
  <c r="BQ26" i="17"/>
  <c r="BQ8" i="17"/>
  <c r="BP19" i="17"/>
  <c r="BQ21" i="17"/>
  <c r="BR11" i="17"/>
  <c r="BP49" i="17"/>
  <c r="BQ30" i="17"/>
  <c r="BQ25" i="17"/>
  <c r="BU18" i="17"/>
  <c r="BQ11" i="17"/>
  <c r="BU28" i="17"/>
  <c r="CA17" i="17"/>
  <c r="CA25" i="17"/>
  <c r="CC32" i="17"/>
  <c r="CM11" i="17"/>
  <c r="BQ29" i="17"/>
  <c r="BQ31" i="17"/>
  <c r="CA11" i="17"/>
  <c r="CA16" i="17"/>
  <c r="BU19" i="17"/>
  <c r="BR22" i="17"/>
  <c r="BR19" i="17"/>
  <c r="BQ16" i="17"/>
  <c r="BQ9" i="17"/>
  <c r="BQ14" i="17"/>
  <c r="CA29" i="17"/>
  <c r="CA26" i="17"/>
  <c r="BP52" i="17"/>
  <c r="BP57" i="17"/>
  <c r="BP55" i="17"/>
  <c r="CM15" i="17"/>
  <c r="BP60" i="17"/>
  <c r="BP58" i="17"/>
  <c r="CA23" i="17"/>
  <c r="BP45" i="17"/>
  <c r="CM24" i="17"/>
  <c r="BP16" i="17"/>
  <c r="BR21" i="17"/>
  <c r="BU11" i="17"/>
  <c r="CM29" i="17"/>
  <c r="BP14" i="17"/>
  <c r="CM30" i="17"/>
  <c r="BU31" i="17"/>
  <c r="BP21" i="17"/>
  <c r="BP23" i="17"/>
  <c r="BU21" i="17"/>
  <c r="BR31" i="17"/>
  <c r="CM18" i="17"/>
  <c r="BR14" i="17"/>
  <c r="BU12" i="17"/>
  <c r="BP18" i="17"/>
  <c r="BP29" i="17"/>
  <c r="CM13" i="17"/>
  <c r="BP25" i="17"/>
  <c r="CA18" i="17"/>
  <c r="CM28" i="17"/>
  <c r="CM9" i="17"/>
  <c r="CA41" i="17"/>
  <c r="BP41" i="17"/>
  <c r="BT46" i="17"/>
  <c r="BS57" i="17"/>
  <c r="CM48" i="17"/>
  <c r="CG40" i="17"/>
  <c r="BT53" i="17"/>
  <c r="CM40" i="17"/>
  <c r="CG39" i="17"/>
  <c r="BR25" i="17"/>
  <c r="BU14" i="17"/>
  <c r="BS42" i="17"/>
  <c r="CM54" i="17"/>
  <c r="CG37" i="17"/>
  <c r="CH61" i="17"/>
  <c r="CA44" i="17"/>
  <c r="BT37" i="17"/>
  <c r="BZ61" i="17"/>
  <c r="BS60" i="17"/>
  <c r="CG58" i="17"/>
  <c r="CA8" i="17"/>
  <c r="BR29" i="17"/>
  <c r="CA43" i="17"/>
  <c r="BP43" i="17"/>
  <c r="CA38" i="17"/>
  <c r="CA59" i="17"/>
  <c r="BP59" i="17"/>
  <c r="BT52" i="17"/>
  <c r="BT48" i="17"/>
  <c r="BT40" i="17"/>
  <c r="BS59" i="17"/>
  <c r="BS54" i="17"/>
  <c r="BS49" i="17"/>
  <c r="CM41" i="17"/>
  <c r="CM55" i="17"/>
  <c r="CM38" i="17"/>
  <c r="CG56" i="17"/>
  <c r="CG60" i="17"/>
  <c r="CG38" i="17"/>
  <c r="BU54" i="17"/>
  <c r="CA42" i="17"/>
  <c r="CG42" i="17"/>
  <c r="CA51" i="17"/>
  <c r="BP51" i="17"/>
  <c r="BS46" i="17"/>
  <c r="CM50" i="17"/>
  <c r="CG47" i="17"/>
  <c r="BU25" i="17"/>
  <c r="CA53" i="17"/>
  <c r="BT59" i="17"/>
  <c r="BS40" i="17"/>
  <c r="BU40" i="17"/>
  <c r="CG45" i="17"/>
  <c r="CA54" i="17"/>
  <c r="BP54" i="17"/>
  <c r="BT47" i="17"/>
  <c r="CM56" i="17"/>
  <c r="CG57" i="17"/>
  <c r="BP44" i="17"/>
  <c r="BU10" i="17"/>
  <c r="BR10" i="17"/>
  <c r="CA48" i="17"/>
  <c r="CA39" i="17"/>
  <c r="CA57" i="17"/>
  <c r="BT50" i="17"/>
  <c r="BT60" i="17"/>
  <c r="BT58" i="17"/>
  <c r="BP38" i="17"/>
  <c r="BS48" i="17"/>
  <c r="BS52" i="17"/>
  <c r="BS41" i="17"/>
  <c r="BU41" i="17"/>
  <c r="BU48" i="17"/>
  <c r="CM39" i="17"/>
  <c r="CM37" i="17"/>
  <c r="CN61" i="17"/>
  <c r="CM47" i="17"/>
  <c r="CG49" i="17"/>
  <c r="CG44" i="17"/>
  <c r="CG48" i="17"/>
  <c r="CA46" i="17"/>
  <c r="BT57" i="17"/>
  <c r="BS53" i="17"/>
  <c r="CM44" i="17"/>
  <c r="CA60" i="17"/>
  <c r="BT43" i="17"/>
  <c r="BS45" i="17"/>
  <c r="CM46" i="17"/>
  <c r="CG41" i="17"/>
  <c r="CA49" i="17"/>
  <c r="BT39" i="17"/>
  <c r="CM49" i="17"/>
  <c r="BU57" i="17"/>
  <c r="CA56" i="17"/>
  <c r="BP56" i="17"/>
  <c r="BT49" i="17"/>
  <c r="BS56" i="17"/>
  <c r="BU56" i="17"/>
  <c r="CM58" i="17"/>
  <c r="BP27" i="17"/>
  <c r="BR27" i="17"/>
  <c r="BU17" i="17"/>
  <c r="CA55" i="17"/>
  <c r="CA45" i="17"/>
  <c r="CA40" i="17"/>
  <c r="BP40" i="17"/>
  <c r="BT56" i="17"/>
  <c r="BT41" i="17"/>
  <c r="BT51" i="17"/>
  <c r="BS38" i="17"/>
  <c r="BS55" i="17"/>
  <c r="BS58" i="17"/>
  <c r="BP48" i="17"/>
  <c r="CM52" i="17"/>
  <c r="CM57" i="17"/>
  <c r="CM51" i="17"/>
  <c r="CG46" i="17"/>
  <c r="CG54" i="17"/>
  <c r="CG43" i="17"/>
  <c r="BU42" i="17"/>
  <c r="BU60" i="17"/>
  <c r="BP46" i="17"/>
  <c r="BP53" i="17"/>
  <c r="BT42" i="17"/>
  <c r="BS47" i="17"/>
  <c r="CM59" i="17"/>
  <c r="CG53" i="17"/>
  <c r="BR17" i="17"/>
  <c r="CA58" i="17"/>
  <c r="BT54" i="17"/>
  <c r="BS51" i="17"/>
  <c r="BU51" i="17"/>
  <c r="CA50" i="17"/>
  <c r="BT38" i="17"/>
  <c r="BS39" i="17"/>
  <c r="CM43" i="17"/>
  <c r="CG51" i="17"/>
  <c r="BS50" i="17"/>
  <c r="CM53" i="17"/>
  <c r="CG55" i="17"/>
  <c r="BU27" i="17"/>
  <c r="BP12" i="17"/>
  <c r="BP22" i="17"/>
  <c r="CA37" i="17"/>
  <c r="CB61" i="17"/>
  <c r="BP37" i="17"/>
  <c r="CA52" i="17"/>
  <c r="CA47" i="17"/>
  <c r="BP39" i="17"/>
  <c r="BT45" i="17"/>
  <c r="BT44" i="17"/>
  <c r="BT55" i="17"/>
  <c r="BP50" i="17"/>
  <c r="BS44" i="17"/>
  <c r="BS37" i="17"/>
  <c r="BY61" i="17"/>
  <c r="BS43" i="17"/>
  <c r="CM45" i="17"/>
  <c r="CM60" i="17"/>
  <c r="CM42" i="17"/>
  <c r="CG59" i="17"/>
  <c r="CG50" i="17"/>
  <c r="CG52" i="17"/>
  <c r="BP42" i="17"/>
  <c r="BP47" i="17"/>
  <c r="BU53" i="17"/>
  <c r="BU59" i="17"/>
  <c r="BR24" i="17"/>
  <c r="BU9" i="17"/>
  <c r="BR9" i="17"/>
  <c r="BU13" i="17"/>
  <c r="BR13" i="17"/>
  <c r="CA28" i="17"/>
  <c r="BP10" i="17"/>
  <c r="BP9" i="17"/>
  <c r="CA14" i="17"/>
  <c r="BU29" i="17"/>
  <c r="CA12" i="17"/>
  <c r="BR30" i="17"/>
  <c r="CA10" i="17"/>
  <c r="BR20" i="17"/>
  <c r="BX32" i="17"/>
  <c r="BR15" i="17"/>
  <c r="BU30" i="17"/>
  <c r="BU20" i="17"/>
  <c r="BP24" i="17"/>
  <c r="CA21" i="17"/>
  <c r="CM17" i="17"/>
  <c r="BP28" i="17"/>
  <c r="BP17" i="17"/>
  <c r="CA20" i="17"/>
  <c r="CN32" i="17"/>
  <c r="BP31" i="17"/>
  <c r="BP11" i="17"/>
  <c r="CA9" i="17"/>
  <c r="CM8" i="17"/>
  <c r="CA31" i="17"/>
  <c r="CA30" i="17"/>
  <c r="CA15" i="17"/>
  <c r="BP15" i="17"/>
  <c r="BP30" i="17"/>
  <c r="CM31" i="17"/>
  <c r="BP20" i="17"/>
  <c r="CB32" i="17"/>
  <c r="BP13" i="17"/>
  <c r="CM26" i="17"/>
  <c r="CM10" i="17"/>
  <c r="BP26" i="17"/>
  <c r="CM22" i="17"/>
  <c r="CA13" i="17"/>
  <c r="BP8" i="17"/>
  <c r="CM21" i="17"/>
  <c r="G20" i="9" l="1"/>
  <c r="G39" i="9" s="1"/>
  <c r="I7" i="11" s="1"/>
  <c r="E66" i="5"/>
  <c r="I66" i="5" s="1"/>
  <c r="F211" i="13"/>
  <c r="G211" i="13" s="1"/>
  <c r="F210" i="13"/>
  <c r="G210" i="13" s="1"/>
  <c r="F209" i="13"/>
  <c r="G209" i="13" s="1"/>
  <c r="L210" i="13"/>
  <c r="M210" i="13" s="1"/>
  <c r="L209" i="13"/>
  <c r="M209" i="13" s="1"/>
  <c r="L212" i="13"/>
  <c r="M212" i="13" s="1"/>
  <c r="CG32" i="17"/>
  <c r="E87" i="5" s="1"/>
  <c r="BS32" i="17"/>
  <c r="BR61" i="17"/>
  <c r="BT32" i="17"/>
  <c r="BQ61" i="17"/>
  <c r="H9" i="10"/>
  <c r="I9" i="10" s="1"/>
  <c r="H43" i="10"/>
  <c r="I43" i="10" s="1"/>
  <c r="BO16" i="17"/>
  <c r="BO11" i="17"/>
  <c r="BO19" i="17"/>
  <c r="BQ32" i="17"/>
  <c r="BO24" i="17"/>
  <c r="BO21" i="17"/>
  <c r="BO23" i="17"/>
  <c r="BO18" i="17"/>
  <c r="BO8" i="17"/>
  <c r="BO55" i="17"/>
  <c r="BO17" i="17"/>
  <c r="BO38" i="17"/>
  <c r="BO47" i="17"/>
  <c r="BO29" i="17"/>
  <c r="BO25" i="17"/>
  <c r="BO44" i="17"/>
  <c r="BO59" i="17"/>
  <c r="BO40" i="17"/>
  <c r="CG61" i="17"/>
  <c r="G87" i="5" s="1"/>
  <c r="BO52" i="17"/>
  <c r="BO28" i="17"/>
  <c r="BO53" i="17"/>
  <c r="CA61" i="17"/>
  <c r="G86" i="5" s="1"/>
  <c r="BO51" i="17"/>
  <c r="CM61" i="17"/>
  <c r="G88" i="5" s="1"/>
  <c r="BT61" i="17"/>
  <c r="BO27" i="17"/>
  <c r="BO60" i="17"/>
  <c r="BO48" i="17"/>
  <c r="BO45" i="17"/>
  <c r="BO42" i="17"/>
  <c r="BO58" i="17"/>
  <c r="BO56" i="17"/>
  <c r="BO57" i="17"/>
  <c r="BO41" i="17"/>
  <c r="BO50" i="17"/>
  <c r="BP61" i="17"/>
  <c r="BU61" i="17"/>
  <c r="G85" i="5" s="1"/>
  <c r="BO54" i="17"/>
  <c r="BO46" i="17"/>
  <c r="BO43" i="17"/>
  <c r="BO10" i="17"/>
  <c r="BS61" i="17"/>
  <c r="BO49" i="17"/>
  <c r="BO37" i="17"/>
  <c r="BO39" i="17"/>
  <c r="BO20" i="17"/>
  <c r="BO12" i="17"/>
  <c r="BR32" i="17"/>
  <c r="BO14" i="17"/>
  <c r="BU32" i="17"/>
  <c r="E85" i="5" s="1"/>
  <c r="BO30" i="17"/>
  <c r="BP32" i="17"/>
  <c r="BO9" i="17"/>
  <c r="BO13" i="17"/>
  <c r="CA32" i="17"/>
  <c r="E86" i="5" s="1"/>
  <c r="BO15" i="17"/>
  <c r="BO31" i="17"/>
  <c r="BO26" i="17"/>
  <c r="CM32" i="17"/>
  <c r="E88" i="5" s="1"/>
  <c r="BO22" i="17"/>
  <c r="E91" i="5" l="1"/>
  <c r="G37" i="9"/>
  <c r="G7" i="11" s="1"/>
  <c r="G40" i="9"/>
  <c r="J7" i="11" s="1"/>
  <c r="G38" i="9"/>
  <c r="H7" i="11" s="1"/>
  <c r="J43" i="10"/>
  <c r="N43" i="10"/>
  <c r="M43" i="10"/>
  <c r="O43" i="10"/>
  <c r="J9" i="10"/>
  <c r="O9" i="10"/>
  <c r="T9" i="10" s="1"/>
  <c r="N9" i="10"/>
  <c r="M9" i="10"/>
  <c r="G213" i="13"/>
  <c r="M213" i="13"/>
  <c r="I86" i="5"/>
  <c r="I88" i="5"/>
  <c r="I85" i="5"/>
  <c r="I87" i="5"/>
  <c r="E44" i="10"/>
  <c r="G44" i="10" s="1"/>
  <c r="H44" i="10" s="1"/>
  <c r="E10" i="10"/>
  <c r="G10" i="10" s="1"/>
  <c r="H10" i="10" s="1"/>
  <c r="I10" i="10" s="1"/>
  <c r="K9" i="10"/>
  <c r="P9" i="10" s="1"/>
  <c r="BO61" i="17"/>
  <c r="BO32" i="17"/>
  <c r="J10" i="10" l="1"/>
  <c r="O10" i="10"/>
  <c r="T10" i="10" s="1"/>
  <c r="N10" i="10"/>
  <c r="M10" i="10"/>
  <c r="I44" i="10"/>
  <c r="S9" i="10"/>
  <c r="R9" i="10"/>
  <c r="L9" i="10"/>
  <c r="K10" i="10"/>
  <c r="P10" i="10" s="1"/>
  <c r="E11" i="10"/>
  <c r="G11" i="10" s="1"/>
  <c r="H11" i="10" s="1"/>
  <c r="I11" i="10" s="1"/>
  <c r="T43" i="10"/>
  <c r="K43" i="10"/>
  <c r="P43" i="10" s="1"/>
  <c r="J44" i="10" l="1"/>
  <c r="M44" i="10"/>
  <c r="O44" i="10"/>
  <c r="T44" i="10" s="1"/>
  <c r="N44" i="10"/>
  <c r="J11" i="10"/>
  <c r="N11" i="10"/>
  <c r="O11" i="10"/>
  <c r="T11" i="10" s="1"/>
  <c r="M11" i="10"/>
  <c r="E45" i="10"/>
  <c r="G45" i="10" s="1"/>
  <c r="H45" i="10" s="1"/>
  <c r="I45" i="10" s="1"/>
  <c r="Q9" i="10"/>
  <c r="S10" i="10"/>
  <c r="R43" i="10"/>
  <c r="S43" i="10"/>
  <c r="R10" i="10"/>
  <c r="L10" i="10"/>
  <c r="Q10" i="10" s="1"/>
  <c r="L43" i="10"/>
  <c r="E12" i="10"/>
  <c r="K11" i="10"/>
  <c r="P11" i="10" s="1"/>
  <c r="K44" i="10"/>
  <c r="P44" i="10" s="1"/>
  <c r="J45" i="10" l="1"/>
  <c r="O45" i="10"/>
  <c r="T45" i="10" s="1"/>
  <c r="N45" i="10"/>
  <c r="M45" i="10"/>
  <c r="U9" i="10"/>
  <c r="K45" i="10"/>
  <c r="P45" i="10" s="1"/>
  <c r="E46" i="10"/>
  <c r="G46" i="10" s="1"/>
  <c r="H46" i="10" s="1"/>
  <c r="I46" i="10" s="1"/>
  <c r="Q43" i="10"/>
  <c r="S11" i="10"/>
  <c r="R11" i="10"/>
  <c r="R44" i="10"/>
  <c r="S44" i="10"/>
  <c r="G12" i="10"/>
  <c r="H12" i="10" s="1"/>
  <c r="L11" i="10"/>
  <c r="L44" i="10"/>
  <c r="Q44" i="10" s="1"/>
  <c r="U10" i="10"/>
  <c r="J46" i="10" l="1"/>
  <c r="M46" i="10"/>
  <c r="O46" i="10"/>
  <c r="N46" i="10"/>
  <c r="U43" i="10"/>
  <c r="K46" i="10"/>
  <c r="P46" i="10" s="1"/>
  <c r="E47" i="10"/>
  <c r="G47" i="10" s="1"/>
  <c r="H47" i="10" s="1"/>
  <c r="I47" i="10" s="1"/>
  <c r="Q11" i="10"/>
  <c r="R45" i="10"/>
  <c r="S45" i="10"/>
  <c r="I12" i="10"/>
  <c r="L45" i="10"/>
  <c r="Q45" i="10" s="1"/>
  <c r="U44" i="10"/>
  <c r="J47" i="10" l="1"/>
  <c r="O47" i="10"/>
  <c r="N47" i="10"/>
  <c r="M47" i="10"/>
  <c r="J12" i="10"/>
  <c r="M12" i="10"/>
  <c r="R12" i="10" s="1"/>
  <c r="O12" i="10"/>
  <c r="T12" i="10" s="1"/>
  <c r="N12" i="10"/>
  <c r="S12" i="10" s="1"/>
  <c r="K47" i="10"/>
  <c r="P47" i="10" s="1"/>
  <c r="E48" i="10"/>
  <c r="G48" i="10" s="1"/>
  <c r="E13" i="10"/>
  <c r="G13" i="10" s="1"/>
  <c r="H13" i="10" s="1"/>
  <c r="I13" i="10" s="1"/>
  <c r="K12" i="10"/>
  <c r="P12" i="10" s="1"/>
  <c r="T46" i="10"/>
  <c r="U45" i="10"/>
  <c r="U11" i="10"/>
  <c r="J13" i="10" l="1"/>
  <c r="N13" i="10"/>
  <c r="S13" i="10" s="1"/>
  <c r="O13" i="10"/>
  <c r="T13" i="10" s="1"/>
  <c r="M13" i="10"/>
  <c r="R13" i="10" s="1"/>
  <c r="H48" i="10"/>
  <c r="I48" i="10" s="1"/>
  <c r="K13" i="10"/>
  <c r="P13" i="10" s="1"/>
  <c r="E14" i="10"/>
  <c r="G14" i="10" s="1"/>
  <c r="H14" i="10" s="1"/>
  <c r="L12" i="10"/>
  <c r="R46" i="10"/>
  <c r="S46" i="10"/>
  <c r="L46" i="10"/>
  <c r="J48" i="10" l="1"/>
  <c r="M48" i="10"/>
  <c r="O48" i="10"/>
  <c r="N48" i="10"/>
  <c r="E49" i="10"/>
  <c r="G49" i="10" s="1"/>
  <c r="H49" i="10" s="1"/>
  <c r="I49" i="10" s="1"/>
  <c r="K48" i="10"/>
  <c r="P48" i="10" s="1"/>
  <c r="Q12" i="10"/>
  <c r="Q46" i="10"/>
  <c r="I14" i="10"/>
  <c r="L13" i="10"/>
  <c r="Q13" i="10" s="1"/>
  <c r="T47" i="10"/>
  <c r="J49" i="10" l="1"/>
  <c r="N49" i="10"/>
  <c r="O49" i="10"/>
  <c r="M49" i="10"/>
  <c r="J14" i="10"/>
  <c r="M14" i="10"/>
  <c r="O14" i="10"/>
  <c r="T14" i="10" s="1"/>
  <c r="N14" i="10"/>
  <c r="U46" i="10"/>
  <c r="U13" i="10"/>
  <c r="U12" i="10"/>
  <c r="E50" i="10"/>
  <c r="G50" i="10" s="1"/>
  <c r="H50" i="10" s="1"/>
  <c r="I50" i="10" s="1"/>
  <c r="K49" i="10"/>
  <c r="P49" i="10" s="1"/>
  <c r="E15" i="10"/>
  <c r="G15" i="10" s="1"/>
  <c r="H15" i="10" s="1"/>
  <c r="K14" i="10"/>
  <c r="P14" i="10" s="1"/>
  <c r="S47" i="10"/>
  <c r="R47" i="10"/>
  <c r="L47" i="10"/>
  <c r="J50" i="10" l="1"/>
  <c r="M50" i="10"/>
  <c r="O50" i="10"/>
  <c r="N50" i="10"/>
  <c r="E51" i="10"/>
  <c r="G51" i="10" s="1"/>
  <c r="H51" i="10" s="1"/>
  <c r="K50" i="10"/>
  <c r="P50" i="10" s="1"/>
  <c r="R14" i="10"/>
  <c r="S14" i="10"/>
  <c r="Q47" i="10"/>
  <c r="I15" i="10"/>
  <c r="L14" i="10"/>
  <c r="T48" i="10"/>
  <c r="J15" i="10" l="1"/>
  <c r="M15" i="10"/>
  <c r="N15" i="10"/>
  <c r="O15" i="10"/>
  <c r="T15" i="10" s="1"/>
  <c r="U47" i="10"/>
  <c r="I51" i="10"/>
  <c r="K15" i="10"/>
  <c r="P15" i="10" s="1"/>
  <c r="Q14" i="10"/>
  <c r="E16" i="10"/>
  <c r="G16" i="10" s="1"/>
  <c r="H16" i="10" s="1"/>
  <c r="S48" i="10"/>
  <c r="R48" i="10"/>
  <c r="L48" i="10"/>
  <c r="J51" i="10" l="1"/>
  <c r="M51" i="10"/>
  <c r="O51" i="10"/>
  <c r="N51" i="10"/>
  <c r="U14" i="10"/>
  <c r="S15" i="10"/>
  <c r="R15" i="10"/>
  <c r="E52" i="10"/>
  <c r="G52" i="10" s="1"/>
  <c r="H52" i="10" s="1"/>
  <c r="I52" i="10" s="1"/>
  <c r="K51" i="10"/>
  <c r="P51" i="10" s="1"/>
  <c r="Q48" i="10"/>
  <c r="I16" i="10"/>
  <c r="L15" i="10"/>
  <c r="T49" i="10"/>
  <c r="J52" i="10" l="1"/>
  <c r="O52" i="10"/>
  <c r="N52" i="10"/>
  <c r="M52" i="10"/>
  <c r="J16" i="10"/>
  <c r="O16" i="10"/>
  <c r="T16" i="10" s="1"/>
  <c r="N16" i="10"/>
  <c r="M16" i="10"/>
  <c r="U48" i="10"/>
  <c r="K52" i="10"/>
  <c r="P52" i="10" s="1"/>
  <c r="E53" i="10"/>
  <c r="G53" i="10" s="1"/>
  <c r="H53" i="10" s="1"/>
  <c r="I53" i="10" s="1"/>
  <c r="Q15" i="10"/>
  <c r="E17" i="10"/>
  <c r="G17" i="10" s="1"/>
  <c r="K16" i="10"/>
  <c r="P16" i="10" s="1"/>
  <c r="R49" i="10"/>
  <c r="S49" i="10"/>
  <c r="L49" i="10"/>
  <c r="Q49" i="10" s="1"/>
  <c r="J53" i="10" l="1"/>
  <c r="O53" i="10"/>
  <c r="N53" i="10"/>
  <c r="M53" i="10"/>
  <c r="U15" i="10"/>
  <c r="S16" i="10"/>
  <c r="R16" i="10"/>
  <c r="H17" i="10"/>
  <c r="I17" i="10" s="1"/>
  <c r="L16" i="10"/>
  <c r="Q16" i="10" s="1"/>
  <c r="K53" i="10"/>
  <c r="P53" i="10" s="1"/>
  <c r="E54" i="10"/>
  <c r="G54" i="10" s="1"/>
  <c r="H54" i="10" s="1"/>
  <c r="I54" i="10" s="1"/>
  <c r="T50" i="10"/>
  <c r="U49" i="10"/>
  <c r="J17" i="10" l="1"/>
  <c r="O17" i="10"/>
  <c r="T17" i="10" s="1"/>
  <c r="N17" i="10"/>
  <c r="M17" i="10"/>
  <c r="J54" i="10"/>
  <c r="O54" i="10"/>
  <c r="N54" i="10"/>
  <c r="M54" i="10"/>
  <c r="U16" i="10"/>
  <c r="E18" i="10"/>
  <c r="G18" i="10" s="1"/>
  <c r="K17" i="10"/>
  <c r="P17" i="10" s="1"/>
  <c r="R50" i="10"/>
  <c r="S50" i="10"/>
  <c r="K54" i="10"/>
  <c r="P54" i="10" s="1"/>
  <c r="E55" i="10"/>
  <c r="G55" i="10" s="1"/>
  <c r="L50" i="10"/>
  <c r="Q50" i="10" s="1"/>
  <c r="T51" i="10"/>
  <c r="S17" i="10" l="1"/>
  <c r="R17" i="10"/>
  <c r="L17" i="10"/>
  <c r="Q17" i="10" s="1"/>
  <c r="H18" i="10"/>
  <c r="I18" i="10" s="1"/>
  <c r="R51" i="10"/>
  <c r="S51" i="10"/>
  <c r="H55" i="10"/>
  <c r="I55" i="10" s="1"/>
  <c r="L51" i="10"/>
  <c r="Q51" i="10" s="1"/>
  <c r="U50" i="10"/>
  <c r="J18" i="10" l="1"/>
  <c r="O18" i="10"/>
  <c r="T18" i="10" s="1"/>
  <c r="N18" i="10"/>
  <c r="M18" i="10"/>
  <c r="J55" i="10"/>
  <c r="O55" i="10"/>
  <c r="M55" i="10"/>
  <c r="N55" i="10"/>
  <c r="U17" i="10"/>
  <c r="E19" i="10"/>
  <c r="G19" i="10" s="1"/>
  <c r="K18" i="10"/>
  <c r="P18" i="10" s="1"/>
  <c r="K55" i="10"/>
  <c r="P55" i="10" s="1"/>
  <c r="E56" i="10"/>
  <c r="G56" i="10" s="1"/>
  <c r="H56" i="10" s="1"/>
  <c r="I56" i="10" s="1"/>
  <c r="T52" i="10"/>
  <c r="U51" i="10"/>
  <c r="J56" i="10" l="1"/>
  <c r="O56" i="10"/>
  <c r="N56" i="10"/>
  <c r="M56" i="10"/>
  <c r="S18" i="10"/>
  <c r="S52" i="10"/>
  <c r="R52" i="10"/>
  <c r="R18" i="10"/>
  <c r="L18" i="10"/>
  <c r="Q18" i="10" s="1"/>
  <c r="H19" i="10"/>
  <c r="I19" i="10" s="1"/>
  <c r="E57" i="10"/>
  <c r="G57" i="10" s="1"/>
  <c r="H57" i="10" s="1"/>
  <c r="I57" i="10" s="1"/>
  <c r="K56" i="10"/>
  <c r="P56" i="10" s="1"/>
  <c r="L52" i="10"/>
  <c r="Q52" i="10" s="1"/>
  <c r="J57" i="10" l="1"/>
  <c r="O57" i="10"/>
  <c r="N57" i="10"/>
  <c r="M57" i="10"/>
  <c r="J19" i="10"/>
  <c r="M19" i="10"/>
  <c r="N19" i="10"/>
  <c r="O19" i="10"/>
  <c r="T19" i="10" s="1"/>
  <c r="U18" i="10"/>
  <c r="E20" i="10"/>
  <c r="G20" i="10" s="1"/>
  <c r="K19" i="10"/>
  <c r="P19" i="10" s="1"/>
  <c r="K57" i="10"/>
  <c r="P57" i="10" s="1"/>
  <c r="E58" i="10"/>
  <c r="G58" i="10" s="1"/>
  <c r="H58" i="10" s="1"/>
  <c r="I58" i="10" s="1"/>
  <c r="T53" i="10"/>
  <c r="U52" i="10"/>
  <c r="J58" i="10" l="1"/>
  <c r="M58" i="10"/>
  <c r="O58" i="10"/>
  <c r="N58" i="10"/>
  <c r="R19" i="10"/>
  <c r="S53" i="10"/>
  <c r="S19" i="10"/>
  <c r="H20" i="10"/>
  <c r="I20" i="10" s="1"/>
  <c r="L19" i="10"/>
  <c r="Q19" i="10" s="1"/>
  <c r="R53" i="10"/>
  <c r="K58" i="10"/>
  <c r="P58" i="10" s="1"/>
  <c r="E59" i="10"/>
  <c r="G59" i="10" s="1"/>
  <c r="L53" i="10"/>
  <c r="Q53" i="10" s="1"/>
  <c r="J20" i="10" l="1"/>
  <c r="N20" i="10"/>
  <c r="M20" i="10"/>
  <c r="O20" i="10"/>
  <c r="T20" i="10" s="1"/>
  <c r="U19" i="10"/>
  <c r="E21" i="10"/>
  <c r="G21" i="10" s="1"/>
  <c r="K20" i="10"/>
  <c r="P20" i="10" s="1"/>
  <c r="H59" i="10"/>
  <c r="I59" i="10" s="1"/>
  <c r="T54" i="10"/>
  <c r="U53" i="10"/>
  <c r="J59" i="10" l="1"/>
  <c r="M59" i="10"/>
  <c r="O59" i="10"/>
  <c r="N59" i="10"/>
  <c r="S20" i="10"/>
  <c r="S54" i="10"/>
  <c r="R20" i="10"/>
  <c r="L20" i="10"/>
  <c r="Q20" i="10" s="1"/>
  <c r="H21" i="10"/>
  <c r="I21" i="10" s="1"/>
  <c r="R54" i="10"/>
  <c r="K59" i="10"/>
  <c r="P59" i="10" s="1"/>
  <c r="E60" i="10"/>
  <c r="G60" i="10" s="1"/>
  <c r="H60" i="10" s="1"/>
  <c r="I60" i="10" s="1"/>
  <c r="L54" i="10"/>
  <c r="Q54" i="10" s="1"/>
  <c r="J60" i="10" l="1"/>
  <c r="O60" i="10"/>
  <c r="N60" i="10"/>
  <c r="M60" i="10"/>
  <c r="J21" i="10"/>
  <c r="N21" i="10"/>
  <c r="O21" i="10"/>
  <c r="T21" i="10" s="1"/>
  <c r="M21" i="10"/>
  <c r="U20" i="10"/>
  <c r="K21" i="10"/>
  <c r="P21" i="10" s="1"/>
  <c r="E22" i="10"/>
  <c r="G22" i="10" s="1"/>
  <c r="E61" i="10"/>
  <c r="G61" i="10" s="1"/>
  <c r="H61" i="10" s="1"/>
  <c r="I61" i="10" s="1"/>
  <c r="K60" i="10"/>
  <c r="P60" i="10" s="1"/>
  <c r="T55" i="10"/>
  <c r="U54" i="10"/>
  <c r="J61" i="10" l="1"/>
  <c r="N61" i="10"/>
  <c r="M61" i="10"/>
  <c r="O61" i="10"/>
  <c r="R21" i="10"/>
  <c r="S55" i="10"/>
  <c r="S21" i="10"/>
  <c r="L21" i="10"/>
  <c r="Q21" i="10" s="1"/>
  <c r="H22" i="10"/>
  <c r="I22" i="10" s="1"/>
  <c r="R55" i="10"/>
  <c r="K61" i="10"/>
  <c r="P61" i="10" s="1"/>
  <c r="E62" i="10"/>
  <c r="G62" i="10" s="1"/>
  <c r="H62" i="10" s="1"/>
  <c r="I62" i="10" s="1"/>
  <c r="L55" i="10"/>
  <c r="Q55" i="10" s="1"/>
  <c r="J62" i="10" l="1"/>
  <c r="O62" i="10"/>
  <c r="N62" i="10"/>
  <c r="M62" i="10"/>
  <c r="J22" i="10"/>
  <c r="M22" i="10"/>
  <c r="O22" i="10"/>
  <c r="T22" i="10" s="1"/>
  <c r="N22" i="10"/>
  <c r="U21" i="10"/>
  <c r="E23" i="10"/>
  <c r="G23" i="10" s="1"/>
  <c r="K22" i="10"/>
  <c r="P22" i="10" s="1"/>
  <c r="K62" i="10"/>
  <c r="P62" i="10" s="1"/>
  <c r="E63" i="10"/>
  <c r="G63" i="10" s="1"/>
  <c r="T56" i="10"/>
  <c r="U55" i="10"/>
  <c r="R22" i="10" l="1"/>
  <c r="R56" i="10"/>
  <c r="S22" i="10"/>
  <c r="S56" i="10"/>
  <c r="L22" i="10"/>
  <c r="Q22" i="10" s="1"/>
  <c r="H23" i="10"/>
  <c r="I23" i="10" s="1"/>
  <c r="H63" i="10"/>
  <c r="I63" i="10" s="1"/>
  <c r="L56" i="10"/>
  <c r="Q56" i="10" s="1"/>
  <c r="J23" i="10" l="1"/>
  <c r="O23" i="10"/>
  <c r="T23" i="10" s="1"/>
  <c r="N23" i="10"/>
  <c r="M23" i="10"/>
  <c r="J63" i="10"/>
  <c r="O63" i="10"/>
  <c r="N63" i="10"/>
  <c r="M63" i="10"/>
  <c r="U22" i="10"/>
  <c r="K23" i="10"/>
  <c r="P23" i="10" s="1"/>
  <c r="E24" i="10"/>
  <c r="G24" i="10" s="1"/>
  <c r="K63" i="10"/>
  <c r="P63" i="10" s="1"/>
  <c r="E64" i="10"/>
  <c r="G64" i="10" s="1"/>
  <c r="H64" i="10" s="1"/>
  <c r="I64" i="10" s="1"/>
  <c r="T57" i="10"/>
  <c r="U56" i="10"/>
  <c r="J64" i="10" l="1"/>
  <c r="O64" i="10"/>
  <c r="N64" i="10"/>
  <c r="M64" i="10"/>
  <c r="S23" i="10"/>
  <c r="S57" i="10"/>
  <c r="H24" i="10"/>
  <c r="I24" i="10" s="1"/>
  <c r="L23" i="10"/>
  <c r="Q23" i="10" s="1"/>
  <c r="R23" i="10"/>
  <c r="R57" i="10"/>
  <c r="E65" i="10"/>
  <c r="G65" i="10" s="1"/>
  <c r="K64" i="10"/>
  <c r="P64" i="10" s="1"/>
  <c r="T58" i="10"/>
  <c r="L57" i="10"/>
  <c r="Q57" i="10" s="1"/>
  <c r="J24" i="10" l="1"/>
  <c r="N24" i="10"/>
  <c r="M24" i="10"/>
  <c r="O24" i="10"/>
  <c r="T24" i="10" s="1"/>
  <c r="U23" i="10"/>
  <c r="R58" i="10"/>
  <c r="K24" i="10"/>
  <c r="P24" i="10" s="1"/>
  <c r="E25" i="10"/>
  <c r="G25" i="10" s="1"/>
  <c r="S58" i="10"/>
  <c r="H65" i="10"/>
  <c r="I65" i="10" s="1"/>
  <c r="T59" i="10"/>
  <c r="L58" i="10"/>
  <c r="Q58" i="10" s="1"/>
  <c r="U57" i="10"/>
  <c r="J65" i="10" l="1"/>
  <c r="N65" i="10"/>
  <c r="M65" i="10"/>
  <c r="O65" i="10"/>
  <c r="R24" i="10"/>
  <c r="S24" i="10"/>
  <c r="L24" i="10"/>
  <c r="Q24" i="10" s="1"/>
  <c r="H25" i="10"/>
  <c r="I25" i="10" s="1"/>
  <c r="S59" i="10"/>
  <c r="R59" i="10"/>
  <c r="K65" i="10"/>
  <c r="P65" i="10" s="1"/>
  <c r="E66" i="10"/>
  <c r="G66" i="10" s="1"/>
  <c r="L59" i="10"/>
  <c r="Q59" i="10" s="1"/>
  <c r="U58" i="10"/>
  <c r="J25" i="10" l="1"/>
  <c r="N25" i="10"/>
  <c r="M25" i="10"/>
  <c r="O25" i="10"/>
  <c r="T25" i="10" s="1"/>
  <c r="U24" i="10"/>
  <c r="E26" i="10"/>
  <c r="G26" i="10" s="1"/>
  <c r="K25" i="10"/>
  <c r="P25" i="10" s="1"/>
  <c r="H66" i="10"/>
  <c r="I66" i="10" s="1"/>
  <c r="T60" i="10"/>
  <c r="R60" i="10"/>
  <c r="U59" i="10"/>
  <c r="J66" i="10" l="1"/>
  <c r="O66" i="10"/>
  <c r="N66" i="10"/>
  <c r="M66" i="10"/>
  <c r="T67" i="10"/>
  <c r="R25" i="10"/>
  <c r="K66" i="10"/>
  <c r="P66" i="10" s="1"/>
  <c r="S25" i="10"/>
  <c r="S60" i="10"/>
  <c r="L25" i="10"/>
  <c r="Q25" i="10" s="1"/>
  <c r="H26" i="10"/>
  <c r="I26" i="10" s="1"/>
  <c r="L60" i="10"/>
  <c r="Q60" i="10" s="1"/>
  <c r="J26" i="10" l="1"/>
  <c r="N26" i="10"/>
  <c r="M26" i="10"/>
  <c r="O26" i="10"/>
  <c r="T26" i="10" s="1"/>
  <c r="N40" i="11"/>
  <c r="M40" i="11"/>
  <c r="O36" i="11"/>
  <c r="O25" i="11"/>
  <c r="N36" i="11"/>
  <c r="N25" i="11"/>
  <c r="M36" i="11"/>
  <c r="M25" i="11"/>
  <c r="L36" i="11"/>
  <c r="L25" i="11"/>
  <c r="L40" i="11" s="1"/>
  <c r="U25" i="10"/>
  <c r="K26" i="10"/>
  <c r="P26" i="10" s="1"/>
  <c r="E27" i="10"/>
  <c r="G27" i="10" s="1"/>
  <c r="T61" i="10"/>
  <c r="U60" i="10"/>
  <c r="O40" i="11" l="1"/>
  <c r="R26" i="10"/>
  <c r="S26" i="10"/>
  <c r="L26" i="10"/>
  <c r="Q26" i="10" s="1"/>
  <c r="H27" i="10"/>
  <c r="I27" i="10" s="1"/>
  <c r="S61" i="10"/>
  <c r="R61" i="10"/>
  <c r="L61" i="10"/>
  <c r="Q61" i="10" s="1"/>
  <c r="J27" i="10" l="1"/>
  <c r="M27" i="10"/>
  <c r="O27" i="10"/>
  <c r="T27" i="10" s="1"/>
  <c r="N27" i="10"/>
  <c r="U26" i="10"/>
  <c r="E28" i="10"/>
  <c r="G28" i="10" s="1"/>
  <c r="K27" i="10"/>
  <c r="P27" i="10" s="1"/>
  <c r="T62" i="10"/>
  <c r="R62" i="10"/>
  <c r="S62" i="10"/>
  <c r="U61" i="10"/>
  <c r="R27" i="10" l="1"/>
  <c r="S27" i="10"/>
  <c r="L27" i="10"/>
  <c r="Q27" i="10" s="1"/>
  <c r="H28" i="10"/>
  <c r="I28" i="10" s="1"/>
  <c r="L62" i="10"/>
  <c r="Q62" i="10" s="1"/>
  <c r="J28" i="10" l="1"/>
  <c r="O28" i="10"/>
  <c r="T28" i="10" s="1"/>
  <c r="M28" i="10"/>
  <c r="N28" i="10"/>
  <c r="U27" i="10"/>
  <c r="K28" i="10"/>
  <c r="P28" i="10" s="1"/>
  <c r="E29" i="10"/>
  <c r="G29" i="10" s="1"/>
  <c r="T63" i="10"/>
  <c r="U62" i="10"/>
  <c r="S28" i="10" l="1"/>
  <c r="R28" i="10"/>
  <c r="L28" i="10"/>
  <c r="Q28" i="10" s="1"/>
  <c r="H29" i="10"/>
  <c r="I29" i="10" s="1"/>
  <c r="R63" i="10"/>
  <c r="S63" i="10"/>
  <c r="L63" i="10"/>
  <c r="Q63" i="10" s="1"/>
  <c r="J29" i="10" l="1"/>
  <c r="O29" i="10"/>
  <c r="T29" i="10" s="1"/>
  <c r="M29" i="10"/>
  <c r="N29" i="10"/>
  <c r="U28" i="10"/>
  <c r="E30" i="10"/>
  <c r="G30" i="10" s="1"/>
  <c r="K29" i="10"/>
  <c r="P29" i="10" s="1"/>
  <c r="T64" i="10"/>
  <c r="U63" i="10"/>
  <c r="S29" i="10" l="1"/>
  <c r="R29" i="10"/>
  <c r="L29" i="10"/>
  <c r="Q29" i="10" s="1"/>
  <c r="H30" i="10"/>
  <c r="I30" i="10" s="1"/>
  <c r="R64" i="10"/>
  <c r="S64" i="10"/>
  <c r="T65" i="10"/>
  <c r="L64" i="10"/>
  <c r="Q64" i="10" s="1"/>
  <c r="J30" i="10" l="1"/>
  <c r="M30" i="10"/>
  <c r="O30" i="10"/>
  <c r="T30" i="10" s="1"/>
  <c r="N30" i="10"/>
  <c r="U29" i="10"/>
  <c r="R65" i="10"/>
  <c r="S65" i="10"/>
  <c r="K30" i="10"/>
  <c r="P30" i="10" s="1"/>
  <c r="E31" i="10"/>
  <c r="G31" i="10" s="1"/>
  <c r="L65" i="10"/>
  <c r="Q65" i="10" s="1"/>
  <c r="U64" i="10"/>
  <c r="S30" i="10" l="1"/>
  <c r="R30" i="10"/>
  <c r="L30" i="10"/>
  <c r="Q30" i="10" s="1"/>
  <c r="H31" i="10"/>
  <c r="I31" i="10" s="1"/>
  <c r="U65" i="10"/>
  <c r="J31" i="10" l="1"/>
  <c r="O31" i="10"/>
  <c r="T31" i="10" s="1"/>
  <c r="M31" i="10"/>
  <c r="N31" i="10"/>
  <c r="U30" i="10"/>
  <c r="T66" i="10"/>
  <c r="E32" i="10"/>
  <c r="G32" i="10" s="1"/>
  <c r="K31" i="10"/>
  <c r="P31" i="10" s="1"/>
  <c r="S66" i="10"/>
  <c r="R66" i="10"/>
  <c r="L66" i="10"/>
  <c r="S31" i="10" l="1"/>
  <c r="Q66" i="10"/>
  <c r="T68" i="10"/>
  <c r="R31" i="10"/>
  <c r="L31" i="10"/>
  <c r="Q31" i="10" s="1"/>
  <c r="H32" i="10"/>
  <c r="I32" i="10" s="1"/>
  <c r="J32" i="10" l="1"/>
  <c r="N32" i="10"/>
  <c r="M32" i="10"/>
  <c r="O32" i="10"/>
  <c r="T33" i="10"/>
  <c r="U66" i="10"/>
  <c r="T69" i="10" s="1"/>
  <c r="T70" i="10" s="1"/>
  <c r="G92" i="5" s="1"/>
  <c r="U31" i="10"/>
  <c r="K32" i="10"/>
  <c r="P32" i="10" s="1"/>
  <c r="G36" i="11" l="1"/>
  <c r="G25" i="11"/>
  <c r="J36" i="11"/>
  <c r="H36" i="11"/>
  <c r="H25" i="11"/>
  <c r="H40" i="11" s="1"/>
  <c r="G40" i="11"/>
  <c r="J25" i="11"/>
  <c r="J40" i="11" s="1"/>
  <c r="I36" i="11"/>
  <c r="I25" i="11"/>
  <c r="S32" i="10"/>
  <c r="R32" i="10"/>
  <c r="T32" i="10"/>
  <c r="L32" i="10"/>
  <c r="K301" i="13"/>
  <c r="M301" i="13" s="1"/>
  <c r="O301" i="13" s="1"/>
  <c r="I40" i="11" l="1"/>
  <c r="Q32" i="10"/>
  <c r="T34" i="10"/>
  <c r="E121" i="5"/>
  <c r="U32" i="10" l="1"/>
  <c r="T35" i="10" s="1"/>
  <c r="T36" i="10" s="1"/>
  <c r="E92" i="5" s="1"/>
  <c r="M260" i="13"/>
  <c r="M268" i="13"/>
  <c r="L265" i="13"/>
  <c r="L268" i="13"/>
  <c r="M263" i="13"/>
  <c r="M265" i="13"/>
  <c r="G109" i="5" l="1"/>
  <c r="I108" i="5"/>
  <c r="E109" i="5"/>
  <c r="I105" i="5"/>
  <c r="J20" i="11"/>
  <c r="E112" i="5"/>
  <c r="O20" i="11"/>
  <c r="G112" i="5"/>
  <c r="L20" i="11"/>
  <c r="G20" i="11"/>
  <c r="J19" i="11"/>
  <c r="O19" i="11"/>
  <c r="L19" i="11"/>
  <c r="G19" i="11"/>
  <c r="J31" i="11" l="1"/>
  <c r="J30" i="11"/>
  <c r="G31" i="11"/>
  <c r="G30" i="11"/>
  <c r="O31" i="11"/>
  <c r="O30" i="11"/>
  <c r="L31" i="11"/>
  <c r="L30" i="11"/>
  <c r="K302" i="13"/>
  <c r="M302" i="13" s="1"/>
  <c r="O302" i="13" s="1"/>
  <c r="E122" i="5" l="1"/>
  <c r="M262" i="13" l="1"/>
  <c r="M267" i="13"/>
  <c r="M266" i="13"/>
  <c r="M261" i="13"/>
  <c r="L266" i="13"/>
  <c r="L267" i="13"/>
  <c r="E110" i="5" l="1"/>
  <c r="G110" i="5"/>
  <c r="I106" i="5"/>
  <c r="I107" i="5"/>
  <c r="I20" i="11"/>
  <c r="E111" i="5"/>
  <c r="N20" i="11"/>
  <c r="G111" i="5"/>
  <c r="H20" i="11"/>
  <c r="M20" i="11"/>
  <c r="H19" i="11"/>
  <c r="M19" i="11"/>
  <c r="N19" i="11"/>
  <c r="I19" i="11"/>
  <c r="N31" i="11" l="1"/>
  <c r="N30" i="11"/>
  <c r="I31" i="11"/>
  <c r="I30" i="11"/>
  <c r="M31" i="11"/>
  <c r="M30" i="11"/>
  <c r="H31" i="11"/>
  <c r="H30" i="11"/>
  <c r="K278" i="13"/>
  <c r="O278" i="13" s="1"/>
  <c r="M238" i="13" s="1"/>
  <c r="M246" i="13" l="1"/>
  <c r="M248" i="13" s="1"/>
  <c r="M244" i="13"/>
  <c r="M240" i="13"/>
  <c r="M242" i="13" s="1"/>
  <c r="K290" i="13"/>
  <c r="O290" i="13" s="1"/>
  <c r="M250" i="13" l="1"/>
  <c r="M255" i="13" l="1"/>
  <c r="I101" i="5" l="1"/>
  <c r="L18" i="11"/>
  <c r="G18" i="11"/>
  <c r="G24" i="11" l="1"/>
  <c r="G41" i="11" s="1"/>
  <c r="G28" i="11"/>
  <c r="G44" i="11" s="1"/>
  <c r="G26" i="11"/>
  <c r="G42" i="11" s="1"/>
  <c r="G27" i="11"/>
  <c r="G43" i="11" s="1"/>
  <c r="G23" i="11"/>
  <c r="G39" i="11" s="1"/>
  <c r="L24" i="11"/>
  <c r="L41" i="11" s="1"/>
  <c r="L23" i="11"/>
  <c r="L39" i="11" s="1"/>
  <c r="L27" i="11"/>
  <c r="L43" i="11" s="1"/>
  <c r="L28" i="11"/>
  <c r="L44" i="11" s="1"/>
  <c r="L26" i="11"/>
  <c r="L42" i="11" s="1"/>
  <c r="K292" i="13"/>
  <c r="O292" i="13" s="1"/>
  <c r="M251" i="13" s="1"/>
  <c r="S82" i="19" l="1"/>
  <c r="S86" i="19"/>
  <c r="S72" i="19"/>
  <c r="S81" i="19"/>
  <c r="S74" i="19"/>
  <c r="S87" i="19"/>
  <c r="S70" i="19"/>
  <c r="S69" i="19"/>
  <c r="S80" i="19"/>
  <c r="S68" i="19"/>
  <c r="S77" i="19"/>
  <c r="S66" i="19"/>
  <c r="S89" i="19"/>
  <c r="S88" i="19"/>
  <c r="S84" i="19"/>
  <c r="S78" i="19"/>
  <c r="S85" i="19"/>
  <c r="S76" i="19"/>
  <c r="S71" i="19"/>
  <c r="S75" i="19"/>
  <c r="S83" i="19"/>
  <c r="S73" i="19"/>
  <c r="S79" i="19"/>
  <c r="S67" i="19"/>
  <c r="AC77" i="19"/>
  <c r="AC72" i="19"/>
  <c r="AC70" i="19"/>
  <c r="AC81" i="19"/>
  <c r="AC85" i="19"/>
  <c r="AC66" i="19"/>
  <c r="AC86" i="19"/>
  <c r="AC84" i="19"/>
  <c r="AC76" i="19"/>
  <c r="AC83" i="19"/>
  <c r="AC88" i="19"/>
  <c r="AC80" i="19"/>
  <c r="AC73" i="19"/>
  <c r="AC82" i="19"/>
  <c r="AC71" i="19"/>
  <c r="AC68" i="19"/>
  <c r="AC67" i="19"/>
  <c r="AC74" i="19"/>
  <c r="AC69" i="19"/>
  <c r="AC87" i="19"/>
  <c r="AC89" i="19"/>
  <c r="AC79" i="19"/>
  <c r="AC78" i="19"/>
  <c r="AC75" i="19"/>
  <c r="AH31" i="19"/>
  <c r="AH29" i="19"/>
  <c r="AH21" i="19"/>
  <c r="AH20" i="19"/>
  <c r="AH30" i="19"/>
  <c r="AH13" i="19"/>
  <c r="AH12" i="19"/>
  <c r="AH10" i="19"/>
  <c r="AH25" i="19"/>
  <c r="AH19" i="19"/>
  <c r="AH33" i="19"/>
  <c r="AH32" i="19"/>
  <c r="AH15" i="19"/>
  <c r="AH14" i="19"/>
  <c r="AH24" i="19"/>
  <c r="AH11" i="19"/>
  <c r="AH27" i="19"/>
  <c r="AH16" i="19"/>
  <c r="AH28" i="19"/>
  <c r="AH17" i="19"/>
  <c r="AH26" i="19"/>
  <c r="AH22" i="19"/>
  <c r="AH18" i="19"/>
  <c r="AH23" i="19"/>
  <c r="X25" i="19"/>
  <c r="X18" i="19"/>
  <c r="X10" i="19"/>
  <c r="X20" i="19"/>
  <c r="X30" i="19"/>
  <c r="X32" i="19"/>
  <c r="X27" i="19"/>
  <c r="X19" i="19"/>
  <c r="X12" i="19"/>
  <c r="X21" i="19"/>
  <c r="X22" i="19"/>
  <c r="X13" i="19"/>
  <c r="X11" i="19"/>
  <c r="X24" i="19"/>
  <c r="X17" i="19"/>
  <c r="X26" i="19"/>
  <c r="X23" i="19"/>
  <c r="X33" i="19"/>
  <c r="X15" i="19"/>
  <c r="X31" i="19"/>
  <c r="X28" i="19"/>
  <c r="X14" i="19"/>
  <c r="X29" i="19"/>
  <c r="X16" i="19"/>
  <c r="AH78" i="19"/>
  <c r="AH84" i="19"/>
  <c r="AH74" i="19"/>
  <c r="AH89" i="19"/>
  <c r="AH87" i="19"/>
  <c r="AH79" i="19"/>
  <c r="AH75" i="19"/>
  <c r="AH69" i="19"/>
  <c r="AH73" i="19"/>
  <c r="AH72" i="19"/>
  <c r="AH88" i="19"/>
  <c r="AH67" i="19"/>
  <c r="AH82" i="19"/>
  <c r="AH68" i="19"/>
  <c r="AH71" i="19"/>
  <c r="AH85" i="19"/>
  <c r="AH83" i="19"/>
  <c r="AH77" i="19"/>
  <c r="AH70" i="19"/>
  <c r="AH86" i="19"/>
  <c r="AH66" i="19"/>
  <c r="AH80" i="19"/>
  <c r="AH76" i="19"/>
  <c r="AH81" i="19"/>
  <c r="I87" i="19"/>
  <c r="I79" i="19"/>
  <c r="I86" i="19"/>
  <c r="I73" i="19"/>
  <c r="I72" i="19"/>
  <c r="I67" i="19"/>
  <c r="I76" i="19"/>
  <c r="I71" i="19"/>
  <c r="I83" i="19"/>
  <c r="I88" i="19"/>
  <c r="I84" i="19"/>
  <c r="I68" i="19"/>
  <c r="I78" i="19"/>
  <c r="I81" i="19"/>
  <c r="I89" i="19"/>
  <c r="I70" i="19"/>
  <c r="I75" i="19"/>
  <c r="I77" i="19"/>
  <c r="I66" i="19"/>
  <c r="I85" i="19"/>
  <c r="I74" i="19"/>
  <c r="I82" i="19"/>
  <c r="I69" i="19"/>
  <c r="I80" i="19"/>
  <c r="I21" i="19"/>
  <c r="I31" i="19"/>
  <c r="I28" i="19"/>
  <c r="I20" i="19"/>
  <c r="I10" i="19"/>
  <c r="I25" i="19"/>
  <c r="I22" i="19"/>
  <c r="I12" i="19"/>
  <c r="I24" i="19"/>
  <c r="I17" i="19"/>
  <c r="I23" i="19"/>
  <c r="I32" i="19"/>
  <c r="I33" i="19"/>
  <c r="I15" i="19"/>
  <c r="I16" i="19"/>
  <c r="I11" i="19"/>
  <c r="I26" i="19"/>
  <c r="I30" i="19"/>
  <c r="I29" i="19"/>
  <c r="I14" i="19"/>
  <c r="I19" i="19"/>
  <c r="I27" i="19"/>
  <c r="I13" i="19"/>
  <c r="I18" i="19"/>
  <c r="AC14" i="19"/>
  <c r="AC31" i="19"/>
  <c r="AC10" i="19"/>
  <c r="AC29" i="19"/>
  <c r="AC26" i="19"/>
  <c r="AC33" i="19"/>
  <c r="AC25" i="19"/>
  <c r="AC11" i="19"/>
  <c r="AC22" i="19"/>
  <c r="AC13" i="19"/>
  <c r="AC23" i="19"/>
  <c r="AC20" i="19"/>
  <c r="AC28" i="19"/>
  <c r="AC16" i="19"/>
  <c r="AC12" i="19"/>
  <c r="AC30" i="19"/>
  <c r="AC27" i="19"/>
  <c r="AC24" i="19"/>
  <c r="AC15" i="19"/>
  <c r="AC17" i="19"/>
  <c r="AC19" i="19"/>
  <c r="AC32" i="19"/>
  <c r="AC21" i="19"/>
  <c r="AC18" i="19"/>
  <c r="S18" i="19"/>
  <c r="S30" i="19"/>
  <c r="S13" i="19"/>
  <c r="S29" i="19"/>
  <c r="S31" i="19"/>
  <c r="S19" i="19"/>
  <c r="S23" i="19"/>
  <c r="S28" i="19"/>
  <c r="S20" i="19"/>
  <c r="S12" i="19"/>
  <c r="S21" i="19"/>
  <c r="S16" i="19"/>
  <c r="S11" i="19"/>
  <c r="S27" i="19"/>
  <c r="S33" i="19"/>
  <c r="S32" i="19"/>
  <c r="S25" i="19"/>
  <c r="S14" i="19"/>
  <c r="S24" i="19"/>
  <c r="S15" i="19"/>
  <c r="S17" i="19"/>
  <c r="S22" i="19"/>
  <c r="S10" i="19"/>
  <c r="S26" i="19"/>
  <c r="X84" i="19"/>
  <c r="X76" i="19"/>
  <c r="X79" i="19"/>
  <c r="X75" i="19"/>
  <c r="X70" i="19"/>
  <c r="X73" i="19"/>
  <c r="X72" i="19"/>
  <c r="X89" i="19"/>
  <c r="X69" i="19"/>
  <c r="X77" i="19"/>
  <c r="X88" i="19"/>
  <c r="X83" i="19"/>
  <c r="X66" i="19"/>
  <c r="X86" i="19"/>
  <c r="X78" i="19"/>
  <c r="X71" i="19"/>
  <c r="X74" i="19"/>
  <c r="X82" i="19"/>
  <c r="X80" i="19"/>
  <c r="X67" i="19"/>
  <c r="X68" i="19"/>
  <c r="X81" i="19"/>
  <c r="X87" i="19"/>
  <c r="X85" i="19"/>
  <c r="N66" i="19"/>
  <c r="N67" i="19"/>
  <c r="N68" i="19"/>
  <c r="N69" i="19"/>
  <c r="N70" i="19"/>
  <c r="N71" i="19"/>
  <c r="N72" i="19"/>
  <c r="N73" i="19"/>
  <c r="N74" i="19"/>
  <c r="N75" i="19"/>
  <c r="N76" i="19"/>
  <c r="N77" i="19"/>
  <c r="N78" i="19"/>
  <c r="N79" i="19"/>
  <c r="N80" i="19"/>
  <c r="N81" i="19"/>
  <c r="N82" i="19"/>
  <c r="N83" i="19"/>
  <c r="N84" i="19"/>
  <c r="N85" i="19"/>
  <c r="N86" i="19"/>
  <c r="N87" i="19"/>
  <c r="N88" i="19"/>
  <c r="N89" i="19"/>
  <c r="N11" i="19"/>
  <c r="N10" i="19"/>
  <c r="N12" i="19"/>
  <c r="N13" i="19"/>
  <c r="N14" i="19"/>
  <c r="N15" i="19"/>
  <c r="N16" i="19"/>
  <c r="N17" i="19"/>
  <c r="N18" i="19"/>
  <c r="N19" i="19"/>
  <c r="N20" i="19"/>
  <c r="N21" i="19"/>
  <c r="N22" i="19"/>
  <c r="N23" i="19"/>
  <c r="N24" i="19"/>
  <c r="N25" i="19"/>
  <c r="N26" i="19"/>
  <c r="N27" i="19"/>
  <c r="N28" i="19"/>
  <c r="N29" i="19"/>
  <c r="N30" i="19"/>
  <c r="N31" i="19"/>
  <c r="N32" i="19"/>
  <c r="N33" i="19"/>
  <c r="M256" i="13"/>
  <c r="K294" i="13"/>
  <c r="O294" i="13" s="1"/>
  <c r="AC36" i="19" l="1"/>
  <c r="AH92" i="19"/>
  <c r="X36" i="19"/>
  <c r="X37" i="19" s="1"/>
  <c r="X38" i="19" s="1"/>
  <c r="X39" i="19" s="1"/>
  <c r="X40" i="19" s="1"/>
  <c r="X41" i="19" s="1"/>
  <c r="X42" i="19" s="1"/>
  <c r="X43" i="19" s="1"/>
  <c r="X44" i="19" s="1"/>
  <c r="X45" i="19" s="1"/>
  <c r="X46" i="19" s="1"/>
  <c r="X47" i="19" s="1"/>
  <c r="X48" i="19" s="1"/>
  <c r="X49" i="19" s="1"/>
  <c r="X50" i="19" s="1"/>
  <c r="X51" i="19" s="1"/>
  <c r="X52" i="19" s="1"/>
  <c r="X53" i="19" s="1"/>
  <c r="X54" i="19" s="1"/>
  <c r="X55" i="19" s="1"/>
  <c r="X56" i="19" s="1"/>
  <c r="X57" i="19" s="1"/>
  <c r="X58" i="19" s="1"/>
  <c r="N36" i="19"/>
  <c r="N37" i="19" s="1"/>
  <c r="N38" i="19" s="1"/>
  <c r="N39" i="19" s="1"/>
  <c r="N40" i="19" s="1"/>
  <c r="N41" i="19" s="1"/>
  <c r="N42" i="19" s="1"/>
  <c r="N43" i="19" s="1"/>
  <c r="N44" i="19" s="1"/>
  <c r="N45" i="19" s="1"/>
  <c r="N46" i="19" s="1"/>
  <c r="N47" i="19" s="1"/>
  <c r="N48" i="19" s="1"/>
  <c r="N49" i="19" s="1"/>
  <c r="N50" i="19" s="1"/>
  <c r="N51" i="19" s="1"/>
  <c r="N52" i="19" s="1"/>
  <c r="N53" i="19" s="1"/>
  <c r="N54" i="19" s="1"/>
  <c r="N55" i="19" s="1"/>
  <c r="N56" i="19" s="1"/>
  <c r="N57" i="19" s="1"/>
  <c r="N58" i="19" s="1"/>
  <c r="N92" i="19"/>
  <c r="N93" i="19" s="1"/>
  <c r="N94" i="19" s="1"/>
  <c r="N95" i="19" s="1"/>
  <c r="N96" i="19" s="1"/>
  <c r="N97" i="19" s="1"/>
  <c r="N98" i="19" s="1"/>
  <c r="N99" i="19" s="1"/>
  <c r="N100" i="19" s="1"/>
  <c r="N101" i="19" s="1"/>
  <c r="N102" i="19" s="1"/>
  <c r="N103" i="19" s="1"/>
  <c r="N104" i="19" s="1"/>
  <c r="N105" i="19" s="1"/>
  <c r="N106" i="19" s="1"/>
  <c r="N107" i="19" s="1"/>
  <c r="N108" i="19" s="1"/>
  <c r="N109" i="19" s="1"/>
  <c r="N110" i="19" s="1"/>
  <c r="N111" i="19" s="1"/>
  <c r="N112" i="19" s="1"/>
  <c r="N113" i="19" s="1"/>
  <c r="N114" i="19" s="1"/>
  <c r="AH36" i="19"/>
  <c r="AH37" i="19" s="1"/>
  <c r="AH38" i="19" s="1"/>
  <c r="AH39" i="19" s="1"/>
  <c r="AH40" i="19" s="1"/>
  <c r="AH41" i="19" s="1"/>
  <c r="AH42" i="19" s="1"/>
  <c r="AH43" i="19" s="1"/>
  <c r="AH44" i="19" s="1"/>
  <c r="AH45" i="19" s="1"/>
  <c r="AH46" i="19" s="1"/>
  <c r="AH47" i="19" s="1"/>
  <c r="AH48" i="19" s="1"/>
  <c r="AH49" i="19" s="1"/>
  <c r="AH50" i="19" s="1"/>
  <c r="AH51" i="19" s="1"/>
  <c r="AH52" i="19" s="1"/>
  <c r="AH53" i="19" s="1"/>
  <c r="AH54" i="19" s="1"/>
  <c r="AH55" i="19" s="1"/>
  <c r="AH56" i="19" s="1"/>
  <c r="AH57" i="19" s="1"/>
  <c r="AH58" i="19" s="1"/>
  <c r="AC92" i="19"/>
  <c r="AC93" i="19" s="1"/>
  <c r="AC94" i="19" s="1"/>
  <c r="X92" i="19"/>
  <c r="I92" i="19"/>
  <c r="I93" i="19" s="1"/>
  <c r="I94" i="19" s="1"/>
  <c r="I95" i="19" s="1"/>
  <c r="I96" i="19" s="1"/>
  <c r="I97" i="19" s="1"/>
  <c r="I98" i="19" s="1"/>
  <c r="I99" i="19" s="1"/>
  <c r="I100" i="19" s="1"/>
  <c r="I101" i="19" s="1"/>
  <c r="I102" i="19" s="1"/>
  <c r="I103" i="19" s="1"/>
  <c r="I104" i="19" s="1"/>
  <c r="I105" i="19" s="1"/>
  <c r="I106" i="19" s="1"/>
  <c r="I107" i="19" s="1"/>
  <c r="I108" i="19" s="1"/>
  <c r="I109" i="19" s="1"/>
  <c r="I110" i="19" s="1"/>
  <c r="I111" i="19" s="1"/>
  <c r="I112" i="19" s="1"/>
  <c r="I113" i="19" s="1"/>
  <c r="I114" i="19" s="1"/>
  <c r="S36" i="19"/>
  <c r="I36" i="19"/>
  <c r="I37" i="19" s="1"/>
  <c r="I38" i="19" s="1"/>
  <c r="I39" i="19" s="1"/>
  <c r="I40" i="19" s="1"/>
  <c r="I41" i="19" s="1"/>
  <c r="I42" i="19" s="1"/>
  <c r="I43" i="19" s="1"/>
  <c r="I44" i="19" s="1"/>
  <c r="I45" i="19" s="1"/>
  <c r="I46" i="19" s="1"/>
  <c r="I47" i="19" s="1"/>
  <c r="I48" i="19" s="1"/>
  <c r="I49" i="19" s="1"/>
  <c r="I50" i="19" s="1"/>
  <c r="I51" i="19" s="1"/>
  <c r="I52" i="19" s="1"/>
  <c r="I53" i="19" s="1"/>
  <c r="I54" i="19" s="1"/>
  <c r="I55" i="19" s="1"/>
  <c r="I56" i="19" s="1"/>
  <c r="I57" i="19" s="1"/>
  <c r="I58" i="19" s="1"/>
  <c r="S92" i="19"/>
  <c r="S93" i="19" s="1"/>
  <c r="S94" i="19" s="1"/>
  <c r="S95" i="19" s="1"/>
  <c r="S96" i="19" s="1"/>
  <c r="S97" i="19" s="1"/>
  <c r="S98" i="19" s="1"/>
  <c r="S99" i="19" s="1"/>
  <c r="S100" i="19" s="1"/>
  <c r="S101" i="19" s="1"/>
  <c r="S102" i="19" s="1"/>
  <c r="S103" i="19" s="1"/>
  <c r="S104" i="19" s="1"/>
  <c r="S105" i="19" s="1"/>
  <c r="S106" i="19" s="1"/>
  <c r="S107" i="19" s="1"/>
  <c r="S108" i="19" s="1"/>
  <c r="S109" i="19" s="1"/>
  <c r="S110" i="19" s="1"/>
  <c r="S111" i="19" s="1"/>
  <c r="S112" i="19" s="1"/>
  <c r="S113" i="19" s="1"/>
  <c r="S114" i="19" s="1"/>
  <c r="AC37" i="19"/>
  <c r="AC38" i="19" s="1"/>
  <c r="AC39" i="19" s="1"/>
  <c r="AC40" i="19" s="1"/>
  <c r="AC41" i="19" s="1"/>
  <c r="AC42" i="19" s="1"/>
  <c r="AC43" i="19" s="1"/>
  <c r="AC44" i="19" s="1"/>
  <c r="AC45" i="19" s="1"/>
  <c r="AC46" i="19" s="1"/>
  <c r="AC47" i="19" s="1"/>
  <c r="AC48" i="19" s="1"/>
  <c r="AC49" i="19" s="1"/>
  <c r="AC50" i="19" s="1"/>
  <c r="AC51" i="19" s="1"/>
  <c r="AC52" i="19" s="1"/>
  <c r="AC53" i="19" s="1"/>
  <c r="AC54" i="19" s="1"/>
  <c r="AC55" i="19" s="1"/>
  <c r="AC56" i="19" s="1"/>
  <c r="AC57" i="19" s="1"/>
  <c r="AC58" i="19" s="1"/>
  <c r="AC95" i="19"/>
  <c r="AC96" i="19" s="1"/>
  <c r="AC97" i="19" s="1"/>
  <c r="AC98" i="19" s="1"/>
  <c r="AC99" i="19" s="1"/>
  <c r="AC100" i="19" s="1"/>
  <c r="AC101" i="19" s="1"/>
  <c r="AC102" i="19" s="1"/>
  <c r="AC103" i="19" s="1"/>
  <c r="AC104" i="19" s="1"/>
  <c r="AC105" i="19" s="1"/>
  <c r="AC106" i="19" s="1"/>
  <c r="AC107" i="19" s="1"/>
  <c r="AC108" i="19" s="1"/>
  <c r="AC109" i="19" s="1"/>
  <c r="AC110" i="19" s="1"/>
  <c r="AC111" i="19" s="1"/>
  <c r="AC112" i="19" s="1"/>
  <c r="AC113" i="19" s="1"/>
  <c r="AC114" i="19" s="1"/>
  <c r="X93" i="19"/>
  <c r="X94" i="19" s="1"/>
  <c r="X95" i="19" s="1"/>
  <c r="X96" i="19" s="1"/>
  <c r="X97" i="19" s="1"/>
  <c r="X98" i="19" s="1"/>
  <c r="X99" i="19" s="1"/>
  <c r="X100" i="19" s="1"/>
  <c r="X101" i="19" s="1"/>
  <c r="X102" i="19" s="1"/>
  <c r="X103" i="19" s="1"/>
  <c r="X104" i="19" s="1"/>
  <c r="X105" i="19" s="1"/>
  <c r="X106" i="19" s="1"/>
  <c r="X107" i="19" s="1"/>
  <c r="X108" i="19" s="1"/>
  <c r="X109" i="19" s="1"/>
  <c r="X110" i="19" s="1"/>
  <c r="X111" i="19" s="1"/>
  <c r="X112" i="19" s="1"/>
  <c r="X113" i="19" s="1"/>
  <c r="X114" i="19" s="1"/>
  <c r="AH93" i="19"/>
  <c r="AH94" i="19" s="1"/>
  <c r="AH95" i="19" s="1"/>
  <c r="AH96" i="19" s="1"/>
  <c r="AH97" i="19" s="1"/>
  <c r="AH98" i="19" s="1"/>
  <c r="AH99" i="19" s="1"/>
  <c r="AH100" i="19" s="1"/>
  <c r="AH101" i="19" s="1"/>
  <c r="AH102" i="19" s="1"/>
  <c r="AH103" i="19" s="1"/>
  <c r="AH104" i="19" s="1"/>
  <c r="AH105" i="19" s="1"/>
  <c r="AH106" i="19" s="1"/>
  <c r="AH107" i="19" s="1"/>
  <c r="AH108" i="19" s="1"/>
  <c r="AH109" i="19" s="1"/>
  <c r="AH110" i="19" s="1"/>
  <c r="AH111" i="19" s="1"/>
  <c r="AH112" i="19" s="1"/>
  <c r="AH113" i="19" s="1"/>
  <c r="AH114" i="19" s="1"/>
  <c r="S37" i="19"/>
  <c r="S38" i="19" s="1"/>
  <c r="S39" i="19" s="1"/>
  <c r="S40" i="19" s="1"/>
  <c r="S41" i="19" s="1"/>
  <c r="S42" i="19" s="1"/>
  <c r="S43" i="19" s="1"/>
  <c r="S44" i="19" s="1"/>
  <c r="S45" i="19" s="1"/>
  <c r="S46" i="19" s="1"/>
  <c r="S47" i="19" s="1"/>
  <c r="S48" i="19" s="1"/>
  <c r="S49" i="19" s="1"/>
  <c r="S50" i="19" s="1"/>
  <c r="S51" i="19" s="1"/>
  <c r="S52" i="19" s="1"/>
  <c r="S53" i="19" s="1"/>
  <c r="S54" i="19" s="1"/>
  <c r="S55" i="19" s="1"/>
  <c r="S56" i="19" s="1"/>
  <c r="S57" i="19" s="1"/>
  <c r="S58" i="19" s="1"/>
  <c r="I34" i="19"/>
  <c r="X90" i="19"/>
  <c r="X91" i="19"/>
  <c r="X34" i="19"/>
  <c r="D21" i="19"/>
  <c r="X35" i="19"/>
  <c r="S34" i="19"/>
  <c r="S35" i="19"/>
  <c r="D10" i="19"/>
  <c r="S90" i="19"/>
  <c r="AC91" i="19"/>
  <c r="N91" i="19"/>
  <c r="S91" i="19"/>
  <c r="I102" i="5"/>
  <c r="AC90" i="19"/>
  <c r="N90" i="19"/>
  <c r="AC34" i="19"/>
  <c r="AC35" i="19"/>
  <c r="N35" i="19"/>
  <c r="N34" i="19"/>
  <c r="D85" i="19"/>
  <c r="AH90" i="19"/>
  <c r="AH91" i="19"/>
  <c r="AH35" i="19"/>
  <c r="AH34" i="19"/>
  <c r="D67" i="19"/>
  <c r="D74" i="19"/>
  <c r="D32" i="19"/>
  <c r="D69" i="19"/>
  <c r="D29" i="19"/>
  <c r="D76" i="19"/>
  <c r="D86" i="19"/>
  <c r="D68" i="19"/>
  <c r="D72" i="19"/>
  <c r="D77" i="19"/>
  <c r="D22" i="19"/>
  <c r="D75" i="19"/>
  <c r="D79" i="19"/>
  <c r="I90" i="19"/>
  <c r="I91" i="19"/>
  <c r="I35" i="19"/>
  <c r="D81" i="19"/>
  <c r="D78" i="19"/>
  <c r="D13" i="19"/>
  <c r="D19" i="19"/>
  <c r="D23" i="19"/>
  <c r="D70" i="19"/>
  <c r="D83" i="19"/>
  <c r="D73" i="19"/>
  <c r="D80" i="19"/>
  <c r="D25" i="19"/>
  <c r="D26" i="19"/>
  <c r="D14" i="19"/>
  <c r="D20" i="19"/>
  <c r="D18" i="19"/>
  <c r="D82" i="19"/>
  <c r="D71" i="19"/>
  <c r="D31" i="19"/>
  <c r="D17" i="19"/>
  <c r="D11" i="19"/>
  <c r="D89" i="19"/>
  <c r="D15" i="19"/>
  <c r="D33" i="19"/>
  <c r="D30" i="19"/>
  <c r="D16" i="19"/>
  <c r="D66" i="19"/>
  <c r="D27" i="19"/>
  <c r="D84" i="19"/>
  <c r="D88" i="19"/>
  <c r="D87" i="19"/>
  <c r="D24" i="19"/>
  <c r="D28" i="19"/>
  <c r="D12" i="19"/>
  <c r="M253" i="13"/>
  <c r="M258" i="13"/>
  <c r="H18" i="11"/>
  <c r="M18" i="11"/>
  <c r="H24" i="11" l="1"/>
  <c r="H41" i="11" s="1"/>
  <c r="H26" i="11"/>
  <c r="H42" i="11" s="1"/>
  <c r="H28" i="11"/>
  <c r="H27" i="11"/>
  <c r="H43" i="11" s="1"/>
  <c r="H23" i="11"/>
  <c r="M24" i="11"/>
  <c r="M41" i="11" s="1"/>
  <c r="M23" i="11"/>
  <c r="M27" i="11"/>
  <c r="M43" i="11" s="1"/>
  <c r="M28" i="11"/>
  <c r="M26" i="11"/>
  <c r="M42" i="11" s="1"/>
  <c r="D92" i="19"/>
  <c r="D36" i="19"/>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35" i="19"/>
  <c r="D93" i="19"/>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O66" i="19"/>
  <c r="O67" i="19"/>
  <c r="O68" i="19"/>
  <c r="O69" i="19"/>
  <c r="O70" i="19"/>
  <c r="O71" i="19"/>
  <c r="O72" i="19"/>
  <c r="O73" i="19"/>
  <c r="O74" i="19"/>
  <c r="O75" i="19"/>
  <c r="O76" i="19"/>
  <c r="O77" i="19"/>
  <c r="O78" i="19"/>
  <c r="O79" i="19"/>
  <c r="O80" i="19"/>
  <c r="O81" i="19"/>
  <c r="O82" i="19"/>
  <c r="O83" i="19"/>
  <c r="O84" i="19"/>
  <c r="O85" i="19"/>
  <c r="O86" i="19"/>
  <c r="O87" i="19"/>
  <c r="O88" i="19"/>
  <c r="O89" i="19"/>
  <c r="O10" i="19"/>
  <c r="O11" i="19"/>
  <c r="O12" i="19"/>
  <c r="O13" i="19"/>
  <c r="O14" i="19"/>
  <c r="O15" i="19"/>
  <c r="O16" i="19"/>
  <c r="O17" i="19"/>
  <c r="O18" i="19"/>
  <c r="O19" i="19"/>
  <c r="O20" i="19"/>
  <c r="O21" i="19"/>
  <c r="O22" i="19"/>
  <c r="O23" i="19"/>
  <c r="O24" i="19"/>
  <c r="O25" i="19"/>
  <c r="O26" i="19"/>
  <c r="O27" i="19"/>
  <c r="O28" i="19"/>
  <c r="O29" i="19"/>
  <c r="O30" i="19"/>
  <c r="O31" i="19"/>
  <c r="O32" i="19"/>
  <c r="O33" i="19"/>
  <c r="D34" i="19"/>
  <c r="I104" i="5"/>
  <c r="D91" i="19"/>
  <c r="D90" i="19"/>
  <c r="O18" i="11"/>
  <c r="J18" i="11"/>
  <c r="J24" i="11" l="1"/>
  <c r="J41" i="11" s="1"/>
  <c r="J27" i="11"/>
  <c r="J43" i="11" s="1"/>
  <c r="J26" i="11"/>
  <c r="J28" i="11"/>
  <c r="J23" i="11"/>
  <c r="O24" i="11"/>
  <c r="O41" i="11" s="1"/>
  <c r="O23" i="11"/>
  <c r="O28" i="11"/>
  <c r="O27" i="11"/>
  <c r="O43" i="11" s="1"/>
  <c r="O26" i="11"/>
  <c r="O42" i="11" s="1"/>
  <c r="O36" i="19"/>
  <c r="O92" i="19"/>
  <c r="O37" i="19"/>
  <c r="O38" i="19" s="1"/>
  <c r="O39" i="19" s="1"/>
  <c r="O40" i="19" s="1"/>
  <c r="O41" i="19" s="1"/>
  <c r="O42" i="19" s="1"/>
  <c r="O43" i="19" s="1"/>
  <c r="O44" i="19" s="1"/>
  <c r="O45" i="19" s="1"/>
  <c r="O46" i="19" s="1"/>
  <c r="O47" i="19" s="1"/>
  <c r="O48" i="19" s="1"/>
  <c r="O49" i="19" s="1"/>
  <c r="O50" i="19" s="1"/>
  <c r="O51" i="19" s="1"/>
  <c r="O52" i="19" s="1"/>
  <c r="O53" i="19" s="1"/>
  <c r="O54" i="19" s="1"/>
  <c r="O55" i="19" s="1"/>
  <c r="O56" i="19" s="1"/>
  <c r="O57" i="19" s="1"/>
  <c r="O58" i="19" s="1"/>
  <c r="O93" i="19"/>
  <c r="O94" i="19" s="1"/>
  <c r="O95" i="19" s="1"/>
  <c r="O96" i="19" s="1"/>
  <c r="O97" i="19" s="1"/>
  <c r="O98" i="19" s="1"/>
  <c r="O99" i="19" s="1"/>
  <c r="O100" i="19" s="1"/>
  <c r="O101" i="19" s="1"/>
  <c r="O102" i="19" s="1"/>
  <c r="O103" i="19" s="1"/>
  <c r="O104" i="19" s="1"/>
  <c r="O105" i="19" s="1"/>
  <c r="O106" i="19" s="1"/>
  <c r="O107" i="19" s="1"/>
  <c r="O108" i="19" s="1"/>
  <c r="O109" i="19" s="1"/>
  <c r="O110" i="19" s="1"/>
  <c r="O111" i="19" s="1"/>
  <c r="O112" i="19" s="1"/>
  <c r="O113" i="19" s="1"/>
  <c r="O114" i="19" s="1"/>
  <c r="AD82" i="19"/>
  <c r="AD77" i="19"/>
  <c r="AD71" i="19"/>
  <c r="AD88" i="19"/>
  <c r="AD85" i="19"/>
  <c r="AD83" i="19"/>
  <c r="AD80" i="19"/>
  <c r="AD89" i="19"/>
  <c r="AD87" i="19"/>
  <c r="AD79" i="19"/>
  <c r="AD75" i="19"/>
  <c r="AD74" i="19"/>
  <c r="AD78" i="19"/>
  <c r="AD72" i="19"/>
  <c r="AD76" i="19"/>
  <c r="AD66" i="19"/>
  <c r="AD84" i="19"/>
  <c r="AD68" i="19"/>
  <c r="AD73" i="19"/>
  <c r="AD86" i="19"/>
  <c r="AD70" i="19"/>
  <c r="AD69" i="19"/>
  <c r="AD67" i="19"/>
  <c r="AD81" i="19"/>
  <c r="T70" i="19"/>
  <c r="T89" i="19"/>
  <c r="T88" i="19"/>
  <c r="T84" i="19"/>
  <c r="T76" i="19"/>
  <c r="T71" i="19"/>
  <c r="T83" i="19"/>
  <c r="T80" i="19"/>
  <c r="T79" i="19"/>
  <c r="T75" i="19"/>
  <c r="T73" i="19"/>
  <c r="T86" i="19"/>
  <c r="T67" i="19"/>
  <c r="T87" i="19"/>
  <c r="T74" i="19"/>
  <c r="T72" i="19"/>
  <c r="T81" i="19"/>
  <c r="T69" i="19"/>
  <c r="T82" i="19"/>
  <c r="T78" i="19"/>
  <c r="T68" i="19"/>
  <c r="T66" i="19"/>
  <c r="T77" i="19"/>
  <c r="T85" i="19"/>
  <c r="T33" i="19"/>
  <c r="T11" i="19"/>
  <c r="T29" i="19"/>
  <c r="T24" i="19"/>
  <c r="T17" i="19"/>
  <c r="T26" i="19"/>
  <c r="T13" i="19"/>
  <c r="T31" i="19"/>
  <c r="T27" i="19"/>
  <c r="T16" i="19"/>
  <c r="T22" i="19"/>
  <c r="T15" i="19"/>
  <c r="T32" i="19"/>
  <c r="T25" i="19"/>
  <c r="T19" i="19"/>
  <c r="T12" i="19"/>
  <c r="T23" i="19"/>
  <c r="T30" i="19"/>
  <c r="T20" i="19"/>
  <c r="T21" i="19"/>
  <c r="T28" i="19"/>
  <c r="T14" i="19"/>
  <c r="T18" i="19"/>
  <c r="T10" i="19"/>
  <c r="Y77" i="19"/>
  <c r="Y89" i="19"/>
  <c r="Y87" i="19"/>
  <c r="Y80" i="19"/>
  <c r="Y70" i="19"/>
  <c r="Y73" i="19"/>
  <c r="Y85" i="19"/>
  <c r="Y66" i="19"/>
  <c r="Y83" i="19"/>
  <c r="Y86" i="19"/>
  <c r="Y81" i="19"/>
  <c r="Y67" i="19"/>
  <c r="Y74" i="19"/>
  <c r="Y84" i="19"/>
  <c r="Y72" i="19"/>
  <c r="Y76" i="19"/>
  <c r="Y79" i="19"/>
  <c r="Y75" i="19"/>
  <c r="Y68" i="19"/>
  <c r="Y82" i="19"/>
  <c r="Y78" i="19"/>
  <c r="Y71" i="19"/>
  <c r="Y69" i="19"/>
  <c r="Y88" i="19"/>
  <c r="AD13" i="19"/>
  <c r="AD29" i="19"/>
  <c r="AD22" i="19"/>
  <c r="AD33" i="19"/>
  <c r="AD24" i="19"/>
  <c r="AD18" i="19"/>
  <c r="AD15" i="19"/>
  <c r="AD26" i="19"/>
  <c r="AD17" i="19"/>
  <c r="AD28" i="19"/>
  <c r="AD16" i="19"/>
  <c r="AD10" i="19"/>
  <c r="AD30" i="19"/>
  <c r="AD12" i="19"/>
  <c r="AD21" i="19"/>
  <c r="AD32" i="19"/>
  <c r="AD31" i="19"/>
  <c r="AD27" i="19"/>
  <c r="AD19" i="19"/>
  <c r="AD23" i="19"/>
  <c r="AD25" i="19"/>
  <c r="AD11" i="19"/>
  <c r="AD20" i="19"/>
  <c r="AD14" i="19"/>
  <c r="Y23" i="19"/>
  <c r="Y19" i="19"/>
  <c r="Y15" i="19"/>
  <c r="Y14" i="19"/>
  <c r="Y22" i="19"/>
  <c r="Y29" i="19"/>
  <c r="Y28" i="19"/>
  <c r="Y16" i="19"/>
  <c r="Y33" i="19"/>
  <c r="Y25" i="19"/>
  <c r="Y24" i="19"/>
  <c r="Y21" i="19"/>
  <c r="Y17" i="19"/>
  <c r="Y26" i="19"/>
  <c r="Y13" i="19"/>
  <c r="Y10" i="19"/>
  <c r="Y31" i="19"/>
  <c r="Y27" i="19"/>
  <c r="Y11" i="19"/>
  <c r="Y30" i="19"/>
  <c r="Y32" i="19"/>
  <c r="Y20" i="19"/>
  <c r="Y12" i="19"/>
  <c r="Y18" i="19"/>
  <c r="Q66" i="19"/>
  <c r="Q67" i="19"/>
  <c r="Q68" i="19"/>
  <c r="Q69" i="19"/>
  <c r="Q70" i="19"/>
  <c r="Q71" i="19"/>
  <c r="Q72" i="19"/>
  <c r="Q73" i="19"/>
  <c r="Q74" i="19"/>
  <c r="Q75" i="19"/>
  <c r="Q76" i="19"/>
  <c r="Q77" i="19"/>
  <c r="Q78" i="19"/>
  <c r="Q79" i="19"/>
  <c r="Q80" i="19"/>
  <c r="Q81" i="19"/>
  <c r="Q82" i="19"/>
  <c r="Q83" i="19"/>
  <c r="Q84" i="19"/>
  <c r="Q85" i="19"/>
  <c r="Q86" i="19"/>
  <c r="Q87" i="19"/>
  <c r="Q88" i="19"/>
  <c r="Q89" i="19"/>
  <c r="Q10" i="19"/>
  <c r="Q11" i="19"/>
  <c r="Q12" i="19"/>
  <c r="Q13" i="19"/>
  <c r="Q14" i="19"/>
  <c r="Q15" i="19"/>
  <c r="Q16" i="19"/>
  <c r="Q17" i="19"/>
  <c r="Q18" i="19"/>
  <c r="Q19" i="19"/>
  <c r="Q20" i="19"/>
  <c r="Q21" i="19"/>
  <c r="Q22" i="19"/>
  <c r="Q23" i="19"/>
  <c r="Q24" i="19"/>
  <c r="Q25" i="19"/>
  <c r="Q26" i="19"/>
  <c r="Q27" i="19"/>
  <c r="Q28" i="19"/>
  <c r="Q29" i="19"/>
  <c r="Q30" i="19"/>
  <c r="Q31" i="19"/>
  <c r="Q32" i="19"/>
  <c r="Q33" i="19"/>
  <c r="J42" i="11"/>
  <c r="H44" i="11"/>
  <c r="H39" i="11"/>
  <c r="M44" i="11"/>
  <c r="M39" i="11"/>
  <c r="K293" i="13"/>
  <c r="O293" i="13" s="1"/>
  <c r="Y92" i="19" l="1"/>
  <c r="Y93" i="19" s="1"/>
  <c r="Y94" i="19" s="1"/>
  <c r="Y95" i="19" s="1"/>
  <c r="Y96" i="19" s="1"/>
  <c r="Y97" i="19" s="1"/>
  <c r="Y98" i="19" s="1"/>
  <c r="Y99" i="19" s="1"/>
  <c r="Y100" i="19" s="1"/>
  <c r="Y101" i="19" s="1"/>
  <c r="Y102" i="19" s="1"/>
  <c r="Y103" i="19" s="1"/>
  <c r="Y104" i="19" s="1"/>
  <c r="Y105" i="19" s="1"/>
  <c r="Y106" i="19" s="1"/>
  <c r="Y107" i="19" s="1"/>
  <c r="Y108" i="19" s="1"/>
  <c r="Y109" i="19" s="1"/>
  <c r="Y110" i="19" s="1"/>
  <c r="Y111" i="19" s="1"/>
  <c r="Y112" i="19" s="1"/>
  <c r="Y113" i="19" s="1"/>
  <c r="Y114" i="19" s="1"/>
  <c r="T36" i="19"/>
  <c r="T37" i="19" s="1"/>
  <c r="T38" i="19" s="1"/>
  <c r="T39" i="19" s="1"/>
  <c r="T40" i="19" s="1"/>
  <c r="T41" i="19" s="1"/>
  <c r="T42" i="19" s="1"/>
  <c r="T43" i="19" s="1"/>
  <c r="T44" i="19" s="1"/>
  <c r="T45" i="19" s="1"/>
  <c r="T46" i="19" s="1"/>
  <c r="T47" i="19" s="1"/>
  <c r="T48" i="19" s="1"/>
  <c r="T49" i="19" s="1"/>
  <c r="T50" i="19" s="1"/>
  <c r="T51" i="19" s="1"/>
  <c r="T52" i="19" s="1"/>
  <c r="T53" i="19" s="1"/>
  <c r="T54" i="19" s="1"/>
  <c r="T55" i="19" s="1"/>
  <c r="T56" i="19" s="1"/>
  <c r="T57" i="19" s="1"/>
  <c r="T58" i="19" s="1"/>
  <c r="Y36" i="19"/>
  <c r="Y37" i="19" s="1"/>
  <c r="AD92" i="19"/>
  <c r="AD93" i="19" s="1"/>
  <c r="AD94" i="19" s="1"/>
  <c r="AD95" i="19" s="1"/>
  <c r="AD96" i="19" s="1"/>
  <c r="AD97" i="19" s="1"/>
  <c r="AD98" i="19" s="1"/>
  <c r="AD99" i="19" s="1"/>
  <c r="AD100" i="19" s="1"/>
  <c r="AD101" i="19" s="1"/>
  <c r="AD102" i="19" s="1"/>
  <c r="AD103" i="19" s="1"/>
  <c r="AD104" i="19" s="1"/>
  <c r="AD105" i="19" s="1"/>
  <c r="AD106" i="19" s="1"/>
  <c r="AD107" i="19" s="1"/>
  <c r="AD108" i="19" s="1"/>
  <c r="AD109" i="19" s="1"/>
  <c r="AD110" i="19" s="1"/>
  <c r="AD111" i="19" s="1"/>
  <c r="AD112" i="19" s="1"/>
  <c r="AD113" i="19" s="1"/>
  <c r="AD114" i="19" s="1"/>
  <c r="Q36" i="19"/>
  <c r="Q37" i="19" s="1"/>
  <c r="Q38" i="19" s="1"/>
  <c r="Q39" i="19" s="1"/>
  <c r="Q40" i="19" s="1"/>
  <c r="Q41" i="19" s="1"/>
  <c r="Q42" i="19" s="1"/>
  <c r="Q43" i="19" s="1"/>
  <c r="Q44" i="19" s="1"/>
  <c r="Q45" i="19" s="1"/>
  <c r="Q46" i="19" s="1"/>
  <c r="Q47" i="19" s="1"/>
  <c r="Q48" i="19" s="1"/>
  <c r="Q49" i="19" s="1"/>
  <c r="Q50" i="19" s="1"/>
  <c r="Q51" i="19" s="1"/>
  <c r="Q52" i="19" s="1"/>
  <c r="Q53" i="19" s="1"/>
  <c r="Q54" i="19" s="1"/>
  <c r="Q55" i="19" s="1"/>
  <c r="Q56" i="19" s="1"/>
  <c r="Q57" i="19" s="1"/>
  <c r="Q58" i="19" s="1"/>
  <c r="Q92" i="19"/>
  <c r="Q93" i="19" s="1"/>
  <c r="Q94" i="19" s="1"/>
  <c r="Q95" i="19" s="1"/>
  <c r="Q96" i="19" s="1"/>
  <c r="Q97" i="19" s="1"/>
  <c r="Q98" i="19" s="1"/>
  <c r="Q99" i="19" s="1"/>
  <c r="Q100" i="19" s="1"/>
  <c r="Q101" i="19" s="1"/>
  <c r="Q102" i="19" s="1"/>
  <c r="Q103" i="19" s="1"/>
  <c r="Q104" i="19" s="1"/>
  <c r="Q105" i="19" s="1"/>
  <c r="Q106" i="19" s="1"/>
  <c r="Q107" i="19" s="1"/>
  <c r="Q108" i="19" s="1"/>
  <c r="Q109" i="19" s="1"/>
  <c r="Q110" i="19" s="1"/>
  <c r="Q111" i="19" s="1"/>
  <c r="Q112" i="19" s="1"/>
  <c r="Q113" i="19" s="1"/>
  <c r="Q114" i="19" s="1"/>
  <c r="AD36" i="19"/>
  <c r="AD37" i="19" s="1"/>
  <c r="AD38" i="19" s="1"/>
  <c r="AD39" i="19" s="1"/>
  <c r="AD40" i="19" s="1"/>
  <c r="AD41" i="19" s="1"/>
  <c r="AD42" i="19" s="1"/>
  <c r="AD43" i="19" s="1"/>
  <c r="AD44" i="19" s="1"/>
  <c r="AD45" i="19" s="1"/>
  <c r="AD46" i="19" s="1"/>
  <c r="AD47" i="19" s="1"/>
  <c r="AD48" i="19" s="1"/>
  <c r="AD49" i="19" s="1"/>
  <c r="AD50" i="19" s="1"/>
  <c r="AD51" i="19" s="1"/>
  <c r="AD52" i="19" s="1"/>
  <c r="AD53" i="19" s="1"/>
  <c r="AD54" i="19" s="1"/>
  <c r="AD55" i="19" s="1"/>
  <c r="AD56" i="19" s="1"/>
  <c r="AD57" i="19" s="1"/>
  <c r="AD58" i="19" s="1"/>
  <c r="T92" i="19"/>
  <c r="T93" i="19" s="1"/>
  <c r="T94" i="19" s="1"/>
  <c r="T95" i="19" s="1"/>
  <c r="T96" i="19" s="1"/>
  <c r="T97" i="19" s="1"/>
  <c r="T98" i="19" s="1"/>
  <c r="T99" i="19" s="1"/>
  <c r="T100" i="19" s="1"/>
  <c r="T101" i="19" s="1"/>
  <c r="T102" i="19" s="1"/>
  <c r="T103" i="19" s="1"/>
  <c r="T104" i="19" s="1"/>
  <c r="T105" i="19" s="1"/>
  <c r="T106" i="19" s="1"/>
  <c r="T107" i="19" s="1"/>
  <c r="T108" i="19" s="1"/>
  <c r="T109" i="19" s="1"/>
  <c r="T110" i="19" s="1"/>
  <c r="T111" i="19" s="1"/>
  <c r="T112" i="19" s="1"/>
  <c r="T113" i="19" s="1"/>
  <c r="T114" i="19" s="1"/>
  <c r="Y38" i="19"/>
  <c r="Y39" i="19" s="1"/>
  <c r="Y40" i="19" s="1"/>
  <c r="Y41" i="19" s="1"/>
  <c r="Y42" i="19" s="1"/>
  <c r="Y43" i="19" s="1"/>
  <c r="Y44" i="19" s="1"/>
  <c r="Y45" i="19" s="1"/>
  <c r="Y46" i="19" s="1"/>
  <c r="Y47" i="19" s="1"/>
  <c r="Y48" i="19" s="1"/>
  <c r="Y49" i="19" s="1"/>
  <c r="Y50" i="19" s="1"/>
  <c r="Y51" i="19" s="1"/>
  <c r="Y52" i="19" s="1"/>
  <c r="Y53" i="19" s="1"/>
  <c r="Y54" i="19" s="1"/>
  <c r="Y55" i="19" s="1"/>
  <c r="Y56" i="19" s="1"/>
  <c r="Y57" i="19" s="1"/>
  <c r="Y58" i="19" s="1"/>
  <c r="AI82" i="19"/>
  <c r="AI72" i="19"/>
  <c r="AI76" i="19"/>
  <c r="AI80" i="19"/>
  <c r="AI70" i="19"/>
  <c r="AI78" i="19"/>
  <c r="AI66" i="19"/>
  <c r="AI77" i="19"/>
  <c r="AI71" i="19"/>
  <c r="AI69" i="19"/>
  <c r="AI89" i="19"/>
  <c r="AI85" i="19"/>
  <c r="AI86" i="19"/>
  <c r="AI81" i="19"/>
  <c r="AI84" i="19"/>
  <c r="AI79" i="19"/>
  <c r="AI88" i="19"/>
  <c r="AI87" i="19"/>
  <c r="AI83" i="19"/>
  <c r="AI75" i="19"/>
  <c r="AI73" i="19"/>
  <c r="AI67" i="19"/>
  <c r="AI74" i="19"/>
  <c r="AI68" i="19"/>
  <c r="V87" i="19"/>
  <c r="V88" i="19"/>
  <c r="V84" i="19"/>
  <c r="V76" i="19"/>
  <c r="V71" i="19"/>
  <c r="V80" i="19"/>
  <c r="V82" i="19"/>
  <c r="V78" i="19"/>
  <c r="V77" i="19"/>
  <c r="V72" i="19"/>
  <c r="V83" i="19"/>
  <c r="V74" i="19"/>
  <c r="V73" i="19"/>
  <c r="V70" i="19"/>
  <c r="V81" i="19"/>
  <c r="V79" i="19"/>
  <c r="V75" i="19"/>
  <c r="V68" i="19"/>
  <c r="V67" i="19"/>
  <c r="V66" i="19"/>
  <c r="V89" i="19"/>
  <c r="V86" i="19"/>
  <c r="V69" i="19"/>
  <c r="V85" i="19"/>
  <c r="J75" i="19"/>
  <c r="J74" i="19"/>
  <c r="J78" i="19"/>
  <c r="J67" i="19"/>
  <c r="J82" i="19"/>
  <c r="J66" i="19"/>
  <c r="J89" i="19"/>
  <c r="J81" i="19"/>
  <c r="J80" i="19"/>
  <c r="J85" i="19"/>
  <c r="J79" i="19"/>
  <c r="J77" i="19"/>
  <c r="J87" i="19"/>
  <c r="J69" i="19"/>
  <c r="J73" i="19"/>
  <c r="J72" i="19"/>
  <c r="J88" i="19"/>
  <c r="J84" i="19"/>
  <c r="J71" i="19"/>
  <c r="J68" i="19"/>
  <c r="J76" i="19"/>
  <c r="J86" i="19"/>
  <c r="J83" i="19"/>
  <c r="J70" i="19"/>
  <c r="V22" i="19"/>
  <c r="V30" i="19"/>
  <c r="V28" i="19"/>
  <c r="V21" i="19"/>
  <c r="V31" i="19"/>
  <c r="V16" i="19"/>
  <c r="V33" i="19"/>
  <c r="V15" i="19"/>
  <c r="V11" i="19"/>
  <c r="V17" i="19"/>
  <c r="V29" i="19"/>
  <c r="V24" i="19"/>
  <c r="V26" i="19"/>
  <c r="V18" i="19"/>
  <c r="V10" i="19"/>
  <c r="V25" i="19"/>
  <c r="V23" i="19"/>
  <c r="V27" i="19"/>
  <c r="V19" i="19"/>
  <c r="V32" i="19"/>
  <c r="V20" i="19"/>
  <c r="V12" i="19"/>
  <c r="V14" i="19"/>
  <c r="V13" i="19"/>
  <c r="AA78" i="19"/>
  <c r="AA73" i="19"/>
  <c r="AA69" i="19"/>
  <c r="AA70" i="19"/>
  <c r="AA77" i="19"/>
  <c r="AA71" i="19"/>
  <c r="AA88" i="19"/>
  <c r="AA84" i="19"/>
  <c r="AA83" i="19"/>
  <c r="AA76" i="19"/>
  <c r="AA74" i="19"/>
  <c r="AA89" i="19"/>
  <c r="AA87" i="19"/>
  <c r="AA81" i="19"/>
  <c r="AA82" i="19"/>
  <c r="AA79" i="19"/>
  <c r="AA75" i="19"/>
  <c r="AA86" i="19"/>
  <c r="AA66" i="19"/>
  <c r="AA85" i="19"/>
  <c r="AA80" i="19"/>
  <c r="AA68" i="19"/>
  <c r="AA72" i="19"/>
  <c r="AA67" i="19"/>
  <c r="J18" i="19"/>
  <c r="J27" i="19"/>
  <c r="J33" i="19"/>
  <c r="J32" i="19"/>
  <c r="J26" i="19"/>
  <c r="J16" i="19"/>
  <c r="J15" i="19"/>
  <c r="J24" i="19"/>
  <c r="J17" i="19"/>
  <c r="J30" i="19"/>
  <c r="J23" i="19"/>
  <c r="J21" i="19"/>
  <c r="J19" i="19"/>
  <c r="J22" i="19"/>
  <c r="J20" i="19"/>
  <c r="J14" i="19"/>
  <c r="J12" i="19"/>
  <c r="J31" i="19"/>
  <c r="J28" i="19"/>
  <c r="J25" i="19"/>
  <c r="J13" i="19"/>
  <c r="J29" i="19"/>
  <c r="J10" i="19"/>
  <c r="J11" i="19"/>
  <c r="AI30" i="19"/>
  <c r="AI18" i="19"/>
  <c r="AI14" i="19"/>
  <c r="AI28" i="19"/>
  <c r="AI26" i="19"/>
  <c r="AI23" i="19"/>
  <c r="AI22" i="19"/>
  <c r="AI16" i="19"/>
  <c r="AI27" i="19"/>
  <c r="AI33" i="19"/>
  <c r="AI32" i="19"/>
  <c r="AI31" i="19"/>
  <c r="AI15" i="19"/>
  <c r="AI17" i="19"/>
  <c r="AI21" i="19"/>
  <c r="AI24" i="19"/>
  <c r="AI11" i="19"/>
  <c r="AI13" i="19"/>
  <c r="AI29" i="19"/>
  <c r="AI10" i="19"/>
  <c r="AI19" i="19"/>
  <c r="AI12" i="19"/>
  <c r="AI20" i="19"/>
  <c r="AI25" i="19"/>
  <c r="AA14" i="19"/>
  <c r="AA10" i="19"/>
  <c r="AA29" i="19"/>
  <c r="AA21" i="19"/>
  <c r="AA32" i="19"/>
  <c r="AA27" i="19"/>
  <c r="AA13" i="19"/>
  <c r="AA19" i="19"/>
  <c r="AA24" i="19"/>
  <c r="AA18" i="19"/>
  <c r="AA16" i="19"/>
  <c r="AA30" i="19"/>
  <c r="AA23" i="19"/>
  <c r="AA20" i="19"/>
  <c r="AA17" i="19"/>
  <c r="AA28" i="19"/>
  <c r="AA15" i="19"/>
  <c r="AA31" i="19"/>
  <c r="AA25" i="19"/>
  <c r="AA11" i="19"/>
  <c r="AA12" i="19"/>
  <c r="AA26" i="19"/>
  <c r="AA22" i="19"/>
  <c r="AA33" i="19"/>
  <c r="AF82" i="19"/>
  <c r="AF71" i="19"/>
  <c r="AF77" i="19"/>
  <c r="AF88" i="19"/>
  <c r="AF86" i="19"/>
  <c r="AF83" i="19"/>
  <c r="AF80" i="19"/>
  <c r="AF76" i="19"/>
  <c r="AF70" i="19"/>
  <c r="AF66" i="19"/>
  <c r="AF73" i="19"/>
  <c r="AF72" i="19"/>
  <c r="AF78" i="19"/>
  <c r="AF81" i="19"/>
  <c r="AF68" i="19"/>
  <c r="AF74" i="19"/>
  <c r="AF79" i="19"/>
  <c r="AF75" i="19"/>
  <c r="AF69" i="19"/>
  <c r="AF84" i="19"/>
  <c r="AF89" i="19"/>
  <c r="AF87" i="19"/>
  <c r="AF85" i="19"/>
  <c r="AF67" i="19"/>
  <c r="AF30" i="19"/>
  <c r="AF11" i="19"/>
  <c r="AF26" i="19"/>
  <c r="AF22" i="19"/>
  <c r="AF20" i="19"/>
  <c r="AF10" i="19"/>
  <c r="AF17" i="19"/>
  <c r="AF23" i="19"/>
  <c r="AF16" i="19"/>
  <c r="AF28" i="19"/>
  <c r="AF27" i="19"/>
  <c r="AF13" i="19"/>
  <c r="AF24" i="19"/>
  <c r="AF31" i="19"/>
  <c r="AF25" i="19"/>
  <c r="AF19" i="19"/>
  <c r="AF33" i="19"/>
  <c r="AF15" i="19"/>
  <c r="AF14" i="19"/>
  <c r="AF29" i="19"/>
  <c r="AF12" i="19"/>
  <c r="AF32" i="19"/>
  <c r="AF18" i="19"/>
  <c r="AF21" i="19"/>
  <c r="AD34" i="19"/>
  <c r="AD35" i="19"/>
  <c r="AD90" i="19"/>
  <c r="AD91" i="19"/>
  <c r="T34" i="19"/>
  <c r="T35" i="19"/>
  <c r="Y34" i="19"/>
  <c r="Y35" i="19"/>
  <c r="Y90" i="19"/>
  <c r="Y91" i="19"/>
  <c r="T90" i="19"/>
  <c r="T91" i="19"/>
  <c r="O90" i="19"/>
  <c r="O91" i="19"/>
  <c r="O34" i="19"/>
  <c r="O35" i="19"/>
  <c r="O44" i="11"/>
  <c r="O39" i="11"/>
  <c r="J44" i="11"/>
  <c r="J39" i="11"/>
  <c r="M252" i="13"/>
  <c r="M257" i="13"/>
  <c r="V92" i="19" l="1"/>
  <c r="V93" i="19" s="1"/>
  <c r="V94" i="19" s="1"/>
  <c r="V95" i="19" s="1"/>
  <c r="V96" i="19" s="1"/>
  <c r="V97" i="19" s="1"/>
  <c r="V98" i="19" s="1"/>
  <c r="V99" i="19" s="1"/>
  <c r="V100" i="19" s="1"/>
  <c r="V101" i="19" s="1"/>
  <c r="V102" i="19" s="1"/>
  <c r="V103" i="19" s="1"/>
  <c r="V104" i="19" s="1"/>
  <c r="V105" i="19" s="1"/>
  <c r="V106" i="19" s="1"/>
  <c r="V107" i="19" s="1"/>
  <c r="V108" i="19" s="1"/>
  <c r="V109" i="19" s="1"/>
  <c r="V110" i="19" s="1"/>
  <c r="V111" i="19" s="1"/>
  <c r="V112" i="19" s="1"/>
  <c r="V113" i="19" s="1"/>
  <c r="V114" i="19" s="1"/>
  <c r="AI92" i="19"/>
  <c r="J36" i="19"/>
  <c r="J37" i="19" s="1"/>
  <c r="AA92" i="19"/>
  <c r="AA93" i="19" s="1"/>
  <c r="AA94" i="19" s="1"/>
  <c r="AA95" i="19" s="1"/>
  <c r="AA96" i="19" s="1"/>
  <c r="AA97" i="19" s="1"/>
  <c r="AA98" i="19" s="1"/>
  <c r="AA99" i="19" s="1"/>
  <c r="AA100" i="19" s="1"/>
  <c r="AA101" i="19" s="1"/>
  <c r="AA102" i="19" s="1"/>
  <c r="AA103" i="19" s="1"/>
  <c r="AA104" i="19" s="1"/>
  <c r="AA105" i="19" s="1"/>
  <c r="AA106" i="19" s="1"/>
  <c r="AA107" i="19" s="1"/>
  <c r="AA108" i="19" s="1"/>
  <c r="AA109" i="19" s="1"/>
  <c r="AA110" i="19" s="1"/>
  <c r="AA111" i="19" s="1"/>
  <c r="AA112" i="19" s="1"/>
  <c r="AA113" i="19" s="1"/>
  <c r="AA114" i="19" s="1"/>
  <c r="V36" i="19"/>
  <c r="V37" i="19" s="1"/>
  <c r="AF36" i="19"/>
  <c r="AI36" i="19"/>
  <c r="AF92" i="19"/>
  <c r="AA36" i="19"/>
  <c r="AA37" i="19" s="1"/>
  <c r="AA38" i="19" s="1"/>
  <c r="AA39" i="19" s="1"/>
  <c r="AA40" i="19" s="1"/>
  <c r="AA41" i="19" s="1"/>
  <c r="AA42" i="19" s="1"/>
  <c r="AA43" i="19" s="1"/>
  <c r="AA44" i="19" s="1"/>
  <c r="AA45" i="19" s="1"/>
  <c r="AA46" i="19" s="1"/>
  <c r="AA47" i="19" s="1"/>
  <c r="AA48" i="19" s="1"/>
  <c r="AA49" i="19" s="1"/>
  <c r="AA50" i="19" s="1"/>
  <c r="AA51" i="19" s="1"/>
  <c r="AA52" i="19" s="1"/>
  <c r="AA53" i="19" s="1"/>
  <c r="AA54" i="19" s="1"/>
  <c r="AA55" i="19" s="1"/>
  <c r="AA56" i="19" s="1"/>
  <c r="AA57" i="19" s="1"/>
  <c r="AA58" i="19" s="1"/>
  <c r="J92" i="19"/>
  <c r="J93" i="19" s="1"/>
  <c r="J94" i="19" s="1"/>
  <c r="J95" i="19" s="1"/>
  <c r="J96" i="19" s="1"/>
  <c r="J97" i="19" s="1"/>
  <c r="J98" i="19" s="1"/>
  <c r="J99" i="19" s="1"/>
  <c r="J100" i="19" s="1"/>
  <c r="J101" i="19" s="1"/>
  <c r="J102" i="19" s="1"/>
  <c r="J103" i="19" s="1"/>
  <c r="J104" i="19" s="1"/>
  <c r="J105" i="19" s="1"/>
  <c r="J106" i="19" s="1"/>
  <c r="J107" i="19" s="1"/>
  <c r="J108" i="19" s="1"/>
  <c r="J109" i="19" s="1"/>
  <c r="J110" i="19" s="1"/>
  <c r="J111" i="19" s="1"/>
  <c r="J112" i="19" s="1"/>
  <c r="J113" i="19" s="1"/>
  <c r="J114" i="19" s="1"/>
  <c r="AF93" i="19"/>
  <c r="AF94" i="19" s="1"/>
  <c r="AF95" i="19" s="1"/>
  <c r="AF96" i="19" s="1"/>
  <c r="AF97" i="19" s="1"/>
  <c r="AF98" i="19" s="1"/>
  <c r="AF99" i="19" s="1"/>
  <c r="AF100" i="19" s="1"/>
  <c r="AF101" i="19" s="1"/>
  <c r="AF102" i="19" s="1"/>
  <c r="AF103" i="19" s="1"/>
  <c r="AF104" i="19" s="1"/>
  <c r="AF105" i="19" s="1"/>
  <c r="AF106" i="19" s="1"/>
  <c r="AF107" i="19" s="1"/>
  <c r="AF108" i="19" s="1"/>
  <c r="AF109" i="19" s="1"/>
  <c r="AF110" i="19" s="1"/>
  <c r="AF111" i="19" s="1"/>
  <c r="AF112" i="19" s="1"/>
  <c r="AF113" i="19" s="1"/>
  <c r="AF114" i="19" s="1"/>
  <c r="AI93" i="19"/>
  <c r="AI94" i="19" s="1"/>
  <c r="AI95" i="19" s="1"/>
  <c r="AI96" i="19" s="1"/>
  <c r="AI97" i="19" s="1"/>
  <c r="AI98" i="19" s="1"/>
  <c r="AI99" i="19" s="1"/>
  <c r="AI100" i="19" s="1"/>
  <c r="AI101" i="19" s="1"/>
  <c r="AI102" i="19" s="1"/>
  <c r="AI103" i="19" s="1"/>
  <c r="AI104" i="19" s="1"/>
  <c r="AI105" i="19" s="1"/>
  <c r="AI106" i="19" s="1"/>
  <c r="AI107" i="19" s="1"/>
  <c r="AI108" i="19" s="1"/>
  <c r="AI109" i="19" s="1"/>
  <c r="AI110" i="19" s="1"/>
  <c r="AI111" i="19" s="1"/>
  <c r="AI112" i="19" s="1"/>
  <c r="AI113" i="19" s="1"/>
  <c r="AI114" i="19" s="1"/>
  <c r="V38" i="19"/>
  <c r="V39" i="19" s="1"/>
  <c r="V40" i="19" s="1"/>
  <c r="V41" i="19" s="1"/>
  <c r="V42" i="19" s="1"/>
  <c r="V43" i="19" s="1"/>
  <c r="V44" i="19" s="1"/>
  <c r="V45" i="19" s="1"/>
  <c r="V46" i="19" s="1"/>
  <c r="V47" i="19" s="1"/>
  <c r="V48" i="19" s="1"/>
  <c r="V49" i="19" s="1"/>
  <c r="V50" i="19" s="1"/>
  <c r="V51" i="19" s="1"/>
  <c r="V52" i="19" s="1"/>
  <c r="V53" i="19" s="1"/>
  <c r="V54" i="19" s="1"/>
  <c r="V55" i="19" s="1"/>
  <c r="V56" i="19" s="1"/>
  <c r="V57" i="19" s="1"/>
  <c r="V58" i="19" s="1"/>
  <c r="AF37" i="19"/>
  <c r="AF38" i="19" s="1"/>
  <c r="AF39" i="19" s="1"/>
  <c r="AF40" i="19" s="1"/>
  <c r="AF41" i="19" s="1"/>
  <c r="AF42" i="19" s="1"/>
  <c r="AF43" i="19" s="1"/>
  <c r="AF44" i="19" s="1"/>
  <c r="AF45" i="19" s="1"/>
  <c r="AF46" i="19" s="1"/>
  <c r="AF47" i="19" s="1"/>
  <c r="AF48" i="19" s="1"/>
  <c r="AF49" i="19" s="1"/>
  <c r="AF50" i="19" s="1"/>
  <c r="AF51" i="19" s="1"/>
  <c r="AF52" i="19" s="1"/>
  <c r="AF53" i="19" s="1"/>
  <c r="AF54" i="19" s="1"/>
  <c r="AF55" i="19" s="1"/>
  <c r="AF56" i="19" s="1"/>
  <c r="AF57" i="19" s="1"/>
  <c r="AF58" i="19" s="1"/>
  <c r="AI37" i="19"/>
  <c r="AI38" i="19" s="1"/>
  <c r="AI39" i="19" s="1"/>
  <c r="AI40" i="19" s="1"/>
  <c r="AI41" i="19" s="1"/>
  <c r="AI42" i="19" s="1"/>
  <c r="AI43" i="19" s="1"/>
  <c r="AI44" i="19" s="1"/>
  <c r="AI45" i="19" s="1"/>
  <c r="AI46" i="19" s="1"/>
  <c r="AI47" i="19" s="1"/>
  <c r="AI48" i="19" s="1"/>
  <c r="AI49" i="19" s="1"/>
  <c r="AI50" i="19" s="1"/>
  <c r="AI51" i="19" s="1"/>
  <c r="AI52" i="19" s="1"/>
  <c r="AI53" i="19" s="1"/>
  <c r="AI54" i="19" s="1"/>
  <c r="AI55" i="19" s="1"/>
  <c r="AI56" i="19" s="1"/>
  <c r="AI57" i="19" s="1"/>
  <c r="AI58" i="19" s="1"/>
  <c r="J38" i="19"/>
  <c r="J39" i="19" s="1"/>
  <c r="J40" i="19" s="1"/>
  <c r="J41" i="19" s="1"/>
  <c r="J42" i="19" s="1"/>
  <c r="J43" i="19" s="1"/>
  <c r="J44" i="19" s="1"/>
  <c r="J45" i="19" s="1"/>
  <c r="J46" i="19" s="1"/>
  <c r="J47" i="19" s="1"/>
  <c r="J48" i="19" s="1"/>
  <c r="J49" i="19" s="1"/>
  <c r="J50" i="19" s="1"/>
  <c r="J51" i="19" s="1"/>
  <c r="J52" i="19" s="1"/>
  <c r="J53" i="19" s="1"/>
  <c r="J54" i="19" s="1"/>
  <c r="J55" i="19" s="1"/>
  <c r="J56" i="19" s="1"/>
  <c r="J57" i="19" s="1"/>
  <c r="J58" i="19" s="1"/>
  <c r="E72" i="19"/>
  <c r="E79" i="19"/>
  <c r="E78" i="19"/>
  <c r="L19" i="19"/>
  <c r="L14" i="19"/>
  <c r="L30" i="19"/>
  <c r="L13" i="19"/>
  <c r="L32" i="19"/>
  <c r="L15" i="19"/>
  <c r="L11" i="19"/>
  <c r="L24" i="19"/>
  <c r="L17" i="19"/>
  <c r="L31" i="19"/>
  <c r="L28" i="19"/>
  <c r="L27" i="19"/>
  <c r="L20" i="19"/>
  <c r="L16" i="19"/>
  <c r="L18" i="19"/>
  <c r="L33" i="19"/>
  <c r="L12" i="19"/>
  <c r="L25" i="19"/>
  <c r="L23" i="19"/>
  <c r="L21" i="19"/>
  <c r="L22" i="19"/>
  <c r="L10" i="19"/>
  <c r="L26" i="19"/>
  <c r="L29" i="19"/>
  <c r="AK21" i="19"/>
  <c r="AK14" i="19"/>
  <c r="AK33" i="19"/>
  <c r="AK27" i="19"/>
  <c r="AK18" i="19"/>
  <c r="AK10" i="19"/>
  <c r="AK32" i="19"/>
  <c r="AK31" i="19"/>
  <c r="AK15" i="19"/>
  <c r="AK17" i="19"/>
  <c r="AK23" i="19"/>
  <c r="AK16" i="19"/>
  <c r="AK25" i="19"/>
  <c r="AK19" i="19"/>
  <c r="AK11" i="19"/>
  <c r="AK20" i="19"/>
  <c r="AK26" i="19"/>
  <c r="AK22" i="19"/>
  <c r="AK28" i="19"/>
  <c r="AK12" i="19"/>
  <c r="AK29" i="19"/>
  <c r="AK30" i="19"/>
  <c r="AK13" i="19"/>
  <c r="AK24" i="19"/>
  <c r="L69" i="19"/>
  <c r="L78" i="19"/>
  <c r="L85" i="19"/>
  <c r="L89" i="19"/>
  <c r="L88" i="19"/>
  <c r="L84" i="19"/>
  <c r="L82" i="19"/>
  <c r="L76" i="19"/>
  <c r="L71" i="19"/>
  <c r="L87" i="19"/>
  <c r="L80" i="19"/>
  <c r="L70" i="19"/>
  <c r="L86" i="19"/>
  <c r="L79" i="19"/>
  <c r="L75" i="19"/>
  <c r="L67" i="19"/>
  <c r="L66" i="19"/>
  <c r="L74" i="19"/>
  <c r="L73" i="19"/>
  <c r="L72" i="19"/>
  <c r="L81" i="19"/>
  <c r="L68" i="19"/>
  <c r="L83" i="19"/>
  <c r="L77" i="19"/>
  <c r="AK86" i="19"/>
  <c r="AK89" i="19"/>
  <c r="AK79" i="19"/>
  <c r="AK75" i="19"/>
  <c r="AK70" i="19"/>
  <c r="AK83" i="19"/>
  <c r="AK74" i="19"/>
  <c r="AK68" i="19"/>
  <c r="AK77" i="19"/>
  <c r="AK82" i="19"/>
  <c r="AK72" i="19"/>
  <c r="AK84" i="19"/>
  <c r="AK71" i="19"/>
  <c r="AK80" i="19"/>
  <c r="AK87" i="19"/>
  <c r="AK85" i="19"/>
  <c r="AK88" i="19"/>
  <c r="AK81" i="19"/>
  <c r="AK73" i="19"/>
  <c r="AK67" i="19"/>
  <c r="AK69" i="19"/>
  <c r="AK78" i="19"/>
  <c r="AK66" i="19"/>
  <c r="AK76" i="19"/>
  <c r="I103" i="5"/>
  <c r="AI35" i="19"/>
  <c r="AI34" i="19"/>
  <c r="AI90" i="19"/>
  <c r="AI91" i="19"/>
  <c r="AF34" i="19"/>
  <c r="AF35" i="19"/>
  <c r="AF90" i="19"/>
  <c r="AF91" i="19"/>
  <c r="E82" i="19"/>
  <c r="E88" i="19"/>
  <c r="E83" i="19"/>
  <c r="E76" i="19"/>
  <c r="E80" i="19"/>
  <c r="E33" i="19"/>
  <c r="E16" i="19"/>
  <c r="E89" i="19"/>
  <c r="J90" i="19"/>
  <c r="J91" i="19"/>
  <c r="E74" i="19"/>
  <c r="AA35" i="19"/>
  <c r="AA34" i="19"/>
  <c r="E23" i="19"/>
  <c r="AA90" i="19"/>
  <c r="AA91" i="19"/>
  <c r="E71" i="19"/>
  <c r="E69" i="19"/>
  <c r="E67" i="19"/>
  <c r="J34" i="19"/>
  <c r="J35" i="19"/>
  <c r="V90" i="19"/>
  <c r="V91" i="19"/>
  <c r="V34" i="19"/>
  <c r="V35" i="19"/>
  <c r="Q90" i="19"/>
  <c r="Q91" i="19"/>
  <c r="Q34" i="19"/>
  <c r="Q35" i="19"/>
  <c r="E87" i="19"/>
  <c r="E77" i="19"/>
  <c r="E66" i="19"/>
  <c r="E25" i="19"/>
  <c r="E17" i="19"/>
  <c r="E30" i="19"/>
  <c r="E21" i="19"/>
  <c r="E81" i="19"/>
  <c r="E85" i="19"/>
  <c r="E22" i="19"/>
  <c r="E26" i="19"/>
  <c r="E20" i="19"/>
  <c r="E31" i="19"/>
  <c r="E11" i="19"/>
  <c r="E24" i="19"/>
  <c r="E13" i="19"/>
  <c r="E70" i="19"/>
  <c r="E73" i="19"/>
  <c r="E84" i="19"/>
  <c r="E28" i="19"/>
  <c r="E27" i="19"/>
  <c r="E32" i="19"/>
  <c r="E19" i="19"/>
  <c r="E15" i="19"/>
  <c r="E18" i="19"/>
  <c r="E29" i="19"/>
  <c r="E12" i="19"/>
  <c r="E14" i="19"/>
  <c r="E10" i="19"/>
  <c r="E75" i="19"/>
  <c r="E68" i="19"/>
  <c r="E86" i="19"/>
  <c r="N18" i="11"/>
  <c r="I18" i="11"/>
  <c r="I24" i="11" l="1"/>
  <c r="I41" i="11" s="1"/>
  <c r="I27" i="11"/>
  <c r="I43" i="11" s="1"/>
  <c r="I23" i="11"/>
  <c r="I28" i="11"/>
  <c r="I26" i="11"/>
  <c r="I42" i="11" s="1"/>
  <c r="N24" i="11"/>
  <c r="N41" i="11" s="1"/>
  <c r="N23" i="11"/>
  <c r="N27" i="11"/>
  <c r="N43" i="11" s="1"/>
  <c r="N28" i="11"/>
  <c r="N26" i="11"/>
  <c r="N42" i="11" s="1"/>
  <c r="L36" i="19"/>
  <c r="L37" i="19" s="1"/>
  <c r="AK92" i="19"/>
  <c r="AK36" i="19"/>
  <c r="AK37" i="19" s="1"/>
  <c r="AK38" i="19" s="1"/>
  <c r="AK39" i="19" s="1"/>
  <c r="AK40" i="19" s="1"/>
  <c r="AK41" i="19" s="1"/>
  <c r="AK42" i="19" s="1"/>
  <c r="AK43" i="19" s="1"/>
  <c r="AK44" i="19" s="1"/>
  <c r="AK45" i="19" s="1"/>
  <c r="AK46" i="19" s="1"/>
  <c r="AK47" i="19" s="1"/>
  <c r="AK48" i="19" s="1"/>
  <c r="AK49" i="19" s="1"/>
  <c r="AK50" i="19" s="1"/>
  <c r="AK51" i="19" s="1"/>
  <c r="AK52" i="19" s="1"/>
  <c r="AK53" i="19" s="1"/>
  <c r="AK54" i="19" s="1"/>
  <c r="AK55" i="19" s="1"/>
  <c r="AK56" i="19" s="1"/>
  <c r="AK57" i="19" s="1"/>
  <c r="AK58" i="19" s="1"/>
  <c r="L92" i="19"/>
  <c r="L93" i="19" s="1"/>
  <c r="L94" i="19" s="1"/>
  <c r="L95" i="19" s="1"/>
  <c r="L96" i="19" s="1"/>
  <c r="L97" i="19" s="1"/>
  <c r="L98" i="19" s="1"/>
  <c r="L99" i="19" s="1"/>
  <c r="L100" i="19" s="1"/>
  <c r="L101" i="19" s="1"/>
  <c r="L102" i="19" s="1"/>
  <c r="L103" i="19" s="1"/>
  <c r="L104" i="19" s="1"/>
  <c r="L105" i="19" s="1"/>
  <c r="L106" i="19" s="1"/>
  <c r="L107" i="19" s="1"/>
  <c r="L108" i="19" s="1"/>
  <c r="L109" i="19" s="1"/>
  <c r="L110" i="19" s="1"/>
  <c r="L111" i="19" s="1"/>
  <c r="L112" i="19" s="1"/>
  <c r="L113" i="19" s="1"/>
  <c r="L114" i="19" s="1"/>
  <c r="E92" i="19"/>
  <c r="E36" i="19"/>
  <c r="E37" i="19" s="1"/>
  <c r="E38" i="19" s="1"/>
  <c r="E39" i="19" s="1"/>
  <c r="E40" i="19" s="1"/>
  <c r="E41" i="19" s="1"/>
  <c r="E42" i="19" s="1"/>
  <c r="E43" i="19" s="1"/>
  <c r="E44" i="19" s="1"/>
  <c r="E45" i="19" s="1"/>
  <c r="E46" i="19" s="1"/>
  <c r="E47" i="19" s="1"/>
  <c r="E48" i="19" s="1"/>
  <c r="E49" i="19" s="1"/>
  <c r="E50" i="19" s="1"/>
  <c r="E51" i="19" s="1"/>
  <c r="E52" i="19" s="1"/>
  <c r="E53" i="19" s="1"/>
  <c r="E54" i="19" s="1"/>
  <c r="E55" i="19" s="1"/>
  <c r="E56" i="19" s="1"/>
  <c r="E57" i="19" s="1"/>
  <c r="E58" i="19" s="1"/>
  <c r="E93" i="19"/>
  <c r="E94" i="19" s="1"/>
  <c r="E95" i="19" s="1"/>
  <c r="E96" i="19" s="1"/>
  <c r="E97" i="19" s="1"/>
  <c r="E98" i="19" s="1"/>
  <c r="E99" i="19" s="1"/>
  <c r="E100" i="19" s="1"/>
  <c r="E101" i="19" s="1"/>
  <c r="E102" i="19" s="1"/>
  <c r="E103" i="19" s="1"/>
  <c r="E104" i="19" s="1"/>
  <c r="E105" i="19" s="1"/>
  <c r="E106" i="19" s="1"/>
  <c r="E107" i="19" s="1"/>
  <c r="E108" i="19" s="1"/>
  <c r="E109" i="19" s="1"/>
  <c r="E110" i="19" s="1"/>
  <c r="E111" i="19" s="1"/>
  <c r="E112" i="19" s="1"/>
  <c r="E113" i="19" s="1"/>
  <c r="E114" i="19" s="1"/>
  <c r="AK93" i="19"/>
  <c r="AK94" i="19" s="1"/>
  <c r="AK95" i="19" s="1"/>
  <c r="AK96" i="19" s="1"/>
  <c r="AK97" i="19" s="1"/>
  <c r="AK98" i="19" s="1"/>
  <c r="AK99" i="19" s="1"/>
  <c r="AK100" i="19" s="1"/>
  <c r="AK101" i="19" s="1"/>
  <c r="AK102" i="19" s="1"/>
  <c r="AK103" i="19" s="1"/>
  <c r="AK104" i="19" s="1"/>
  <c r="AK105" i="19" s="1"/>
  <c r="AK106" i="19" s="1"/>
  <c r="AK107" i="19" s="1"/>
  <c r="AK108" i="19" s="1"/>
  <c r="AK109" i="19" s="1"/>
  <c r="AK110" i="19" s="1"/>
  <c r="AK111" i="19" s="1"/>
  <c r="AK112" i="19" s="1"/>
  <c r="AK113" i="19" s="1"/>
  <c r="AK114" i="19" s="1"/>
  <c r="L38" i="19"/>
  <c r="L39" i="19" s="1"/>
  <c r="L40" i="19" s="1"/>
  <c r="L41" i="19" s="1"/>
  <c r="L42" i="19" s="1"/>
  <c r="L43" i="19" s="1"/>
  <c r="L44" i="19" s="1"/>
  <c r="L45" i="19" s="1"/>
  <c r="L46" i="19" s="1"/>
  <c r="L47" i="19" s="1"/>
  <c r="L48" i="19" s="1"/>
  <c r="L49" i="19" s="1"/>
  <c r="L50" i="19" s="1"/>
  <c r="L51" i="19" s="1"/>
  <c r="L52" i="19" s="1"/>
  <c r="L53" i="19" s="1"/>
  <c r="L54" i="19" s="1"/>
  <c r="L55" i="19" s="1"/>
  <c r="L56" i="19" s="1"/>
  <c r="L57" i="19" s="1"/>
  <c r="L58" i="19" s="1"/>
  <c r="P66" i="19"/>
  <c r="P67" i="19"/>
  <c r="R67" i="19" s="1"/>
  <c r="P68" i="19"/>
  <c r="R68" i="19" s="1"/>
  <c r="P69" i="19"/>
  <c r="R69" i="19" s="1"/>
  <c r="P70" i="19"/>
  <c r="R70" i="19" s="1"/>
  <c r="P71" i="19"/>
  <c r="R71" i="19" s="1"/>
  <c r="P72" i="19"/>
  <c r="R72" i="19" s="1"/>
  <c r="P73" i="19"/>
  <c r="P74" i="19"/>
  <c r="P75" i="19"/>
  <c r="P76" i="19"/>
  <c r="P77" i="19"/>
  <c r="P78" i="19"/>
  <c r="P79" i="19"/>
  <c r="P80" i="19"/>
  <c r="P81" i="19"/>
  <c r="P82" i="19"/>
  <c r="P83" i="19"/>
  <c r="P84" i="19"/>
  <c r="P85" i="19"/>
  <c r="P86" i="19"/>
  <c r="P87" i="19"/>
  <c r="P88" i="19"/>
  <c r="P89" i="19"/>
  <c r="P10" i="19"/>
  <c r="P11" i="19"/>
  <c r="R11" i="19" s="1"/>
  <c r="P12" i="19"/>
  <c r="R12" i="19" s="1"/>
  <c r="P13" i="19"/>
  <c r="R13" i="19" s="1"/>
  <c r="P14" i="19"/>
  <c r="R14" i="19" s="1"/>
  <c r="P15" i="19"/>
  <c r="R15" i="19" s="1"/>
  <c r="P16" i="19"/>
  <c r="R16" i="19" s="1"/>
  <c r="P17" i="19"/>
  <c r="R17" i="19" s="1"/>
  <c r="P18" i="19"/>
  <c r="R18" i="19" s="1"/>
  <c r="P19" i="19"/>
  <c r="R19" i="19" s="1"/>
  <c r="P20" i="19"/>
  <c r="R20" i="19" s="1"/>
  <c r="P21" i="19"/>
  <c r="R21" i="19" s="1"/>
  <c r="P22" i="19"/>
  <c r="R22" i="19" s="1"/>
  <c r="P23" i="19"/>
  <c r="R23" i="19" s="1"/>
  <c r="P24" i="19"/>
  <c r="R24" i="19" s="1"/>
  <c r="P25" i="19"/>
  <c r="P26" i="19"/>
  <c r="P27" i="19"/>
  <c r="P28" i="19"/>
  <c r="P29" i="19"/>
  <c r="P30" i="19"/>
  <c r="P31" i="19"/>
  <c r="P32" i="19"/>
  <c r="P33" i="19"/>
  <c r="AK91" i="19"/>
  <c r="AK90" i="19"/>
  <c r="AK34" i="19"/>
  <c r="AK35" i="19"/>
  <c r="E34" i="19"/>
  <c r="E35" i="19"/>
  <c r="G86" i="19"/>
  <c r="G81" i="19"/>
  <c r="G33" i="19"/>
  <c r="G12" i="19"/>
  <c r="G71" i="19"/>
  <c r="G27" i="19"/>
  <c r="G77" i="19"/>
  <c r="G26" i="19"/>
  <c r="L34" i="19"/>
  <c r="L35" i="19"/>
  <c r="G32" i="19"/>
  <c r="G22" i="19"/>
  <c r="G67" i="19"/>
  <c r="G66" i="19"/>
  <c r="L90" i="19"/>
  <c r="L91" i="19"/>
  <c r="G28" i="19"/>
  <c r="G16" i="19"/>
  <c r="G84" i="19"/>
  <c r="G88" i="19"/>
  <c r="G24" i="19"/>
  <c r="G14" i="19"/>
  <c r="E91" i="19"/>
  <c r="E90" i="19"/>
  <c r="G74" i="19"/>
  <c r="G30" i="19"/>
  <c r="G83" i="19"/>
  <c r="G17" i="19"/>
  <c r="G75" i="19"/>
  <c r="G80" i="19"/>
  <c r="G89" i="19"/>
  <c r="G23" i="19"/>
  <c r="G19" i="19"/>
  <c r="G31" i="19"/>
  <c r="G72" i="19"/>
  <c r="G82" i="19"/>
  <c r="G21" i="19"/>
  <c r="G29" i="19"/>
  <c r="G15" i="19"/>
  <c r="G73" i="19"/>
  <c r="G10" i="19"/>
  <c r="G68" i="19"/>
  <c r="G25" i="19"/>
  <c r="G18" i="19"/>
  <c r="G87" i="19"/>
  <c r="G70" i="19"/>
  <c r="G79" i="19"/>
  <c r="G20" i="19"/>
  <c r="G13" i="19"/>
  <c r="G76" i="19"/>
  <c r="G85" i="19"/>
  <c r="G69" i="19"/>
  <c r="G11" i="19"/>
  <c r="G78" i="19"/>
  <c r="R26" i="19" l="1"/>
  <c r="R33" i="19"/>
  <c r="R25" i="19"/>
  <c r="R89" i="19"/>
  <c r="R28" i="19"/>
  <c r="R29" i="19"/>
  <c r="R27" i="19"/>
  <c r="G36" i="19"/>
  <c r="G37" i="19" s="1"/>
  <c r="G38" i="19" s="1"/>
  <c r="G39" i="19" s="1"/>
  <c r="G40" i="19" s="1"/>
  <c r="G41" i="19" s="1"/>
  <c r="G42" i="19" s="1"/>
  <c r="G43" i="19" s="1"/>
  <c r="G44" i="19" s="1"/>
  <c r="G45" i="19" s="1"/>
  <c r="G46" i="19" s="1"/>
  <c r="G47" i="19" s="1"/>
  <c r="G48" i="19" s="1"/>
  <c r="G49" i="19" s="1"/>
  <c r="G50" i="19" s="1"/>
  <c r="G51" i="19" s="1"/>
  <c r="G52" i="19" s="1"/>
  <c r="G53" i="19" s="1"/>
  <c r="G54" i="19" s="1"/>
  <c r="G55" i="19" s="1"/>
  <c r="G56" i="19" s="1"/>
  <c r="G57" i="19" s="1"/>
  <c r="G58" i="19" s="1"/>
  <c r="G92" i="19"/>
  <c r="G93" i="19" s="1"/>
  <c r="G94" i="19" s="1"/>
  <c r="G95" i="19" s="1"/>
  <c r="G96" i="19" s="1"/>
  <c r="G97" i="19" s="1"/>
  <c r="G98" i="19" s="1"/>
  <c r="G99" i="19" s="1"/>
  <c r="G100" i="19" s="1"/>
  <c r="G101" i="19" s="1"/>
  <c r="G102" i="19" s="1"/>
  <c r="G103" i="19" s="1"/>
  <c r="G104" i="19" s="1"/>
  <c r="G105" i="19" s="1"/>
  <c r="G106" i="19" s="1"/>
  <c r="G107" i="19" s="1"/>
  <c r="G108" i="19" s="1"/>
  <c r="G109" i="19" s="1"/>
  <c r="G110" i="19" s="1"/>
  <c r="G111" i="19" s="1"/>
  <c r="G112" i="19" s="1"/>
  <c r="G113" i="19" s="1"/>
  <c r="G114" i="19" s="1"/>
  <c r="P92" i="19"/>
  <c r="P93" i="19" s="1"/>
  <c r="P94" i="19" s="1"/>
  <c r="P95" i="19" s="1"/>
  <c r="P96" i="19" s="1"/>
  <c r="P97" i="19" s="1"/>
  <c r="P98" i="19" s="1"/>
  <c r="P99" i="19" s="1"/>
  <c r="P100" i="19" s="1"/>
  <c r="P101" i="19" s="1"/>
  <c r="P102" i="19" s="1"/>
  <c r="P103" i="19" s="1"/>
  <c r="P104" i="19" s="1"/>
  <c r="P105" i="19" s="1"/>
  <c r="P106" i="19" s="1"/>
  <c r="P107" i="19" s="1"/>
  <c r="P108" i="19" s="1"/>
  <c r="P109" i="19" s="1"/>
  <c r="P110" i="19" s="1"/>
  <c r="P111" i="19" s="1"/>
  <c r="P112" i="19" s="1"/>
  <c r="P113" i="19" s="1"/>
  <c r="P114" i="19" s="1"/>
  <c r="R30" i="19"/>
  <c r="P36" i="19"/>
  <c r="P37" i="19" s="1"/>
  <c r="P38" i="19" s="1"/>
  <c r="P39" i="19" s="1"/>
  <c r="P40" i="19" s="1"/>
  <c r="P41" i="19" s="1"/>
  <c r="P42" i="19" s="1"/>
  <c r="P43" i="19" s="1"/>
  <c r="P44" i="19" s="1"/>
  <c r="P45" i="19" s="1"/>
  <c r="P46" i="19" s="1"/>
  <c r="P47" i="19" s="1"/>
  <c r="P48" i="19" s="1"/>
  <c r="P49" i="19" s="1"/>
  <c r="P50" i="19" s="1"/>
  <c r="P51" i="19" s="1"/>
  <c r="P52" i="19" s="1"/>
  <c r="P53" i="19" s="1"/>
  <c r="P54" i="19" s="1"/>
  <c r="P55" i="19" s="1"/>
  <c r="P56" i="19" s="1"/>
  <c r="P57" i="19" s="1"/>
  <c r="P58" i="19" s="1"/>
  <c r="R82" i="19"/>
  <c r="R74" i="19"/>
  <c r="R80" i="19"/>
  <c r="R81" i="19"/>
  <c r="R73" i="19"/>
  <c r="R79" i="19"/>
  <c r="R86" i="19"/>
  <c r="R78" i="19"/>
  <c r="R85" i="19"/>
  <c r="R77" i="19"/>
  <c r="R84" i="19"/>
  <c r="R76" i="19"/>
  <c r="R75" i="19"/>
  <c r="R83" i="19"/>
  <c r="R87" i="19"/>
  <c r="R31" i="19"/>
  <c r="R32" i="19"/>
  <c r="R88" i="19"/>
  <c r="AE77" i="19"/>
  <c r="AE81" i="19"/>
  <c r="AE73" i="19"/>
  <c r="AE84" i="19"/>
  <c r="AE69" i="19"/>
  <c r="AG69" i="19" s="1"/>
  <c r="AE89" i="19"/>
  <c r="AE87" i="19"/>
  <c r="AE79" i="19"/>
  <c r="AE75" i="19"/>
  <c r="AE74" i="19"/>
  <c r="AE68" i="19"/>
  <c r="AG68" i="19" s="1"/>
  <c r="AE67" i="19"/>
  <c r="AG67" i="19" s="1"/>
  <c r="AE85" i="19"/>
  <c r="AE80" i="19"/>
  <c r="AE78" i="19"/>
  <c r="AE76" i="19"/>
  <c r="AE70" i="19"/>
  <c r="AG70" i="19" s="1"/>
  <c r="AE66" i="19"/>
  <c r="AE88" i="19"/>
  <c r="AE86" i="19"/>
  <c r="AE83" i="19"/>
  <c r="AE71" i="19"/>
  <c r="AG71" i="19" s="1"/>
  <c r="AE82" i="19"/>
  <c r="AE72" i="19"/>
  <c r="AG72" i="19" s="1"/>
  <c r="AE14" i="19"/>
  <c r="AG14" i="19" s="1"/>
  <c r="AE32" i="19"/>
  <c r="AE11" i="19"/>
  <c r="AG11" i="19" s="1"/>
  <c r="AE26" i="19"/>
  <c r="AE23" i="19"/>
  <c r="AG23" i="19" s="1"/>
  <c r="AE31" i="19"/>
  <c r="AE21" i="19"/>
  <c r="AG21" i="19" s="1"/>
  <c r="AE22" i="19"/>
  <c r="AG22" i="19" s="1"/>
  <c r="AE20" i="19"/>
  <c r="AG20" i="19" s="1"/>
  <c r="AE13" i="19"/>
  <c r="AG13" i="19" s="1"/>
  <c r="AE12" i="19"/>
  <c r="AG12" i="19" s="1"/>
  <c r="AE27" i="19"/>
  <c r="AE19" i="19"/>
  <c r="AG19" i="19" s="1"/>
  <c r="AE25" i="19"/>
  <c r="AE24" i="19"/>
  <c r="AG24" i="19" s="1"/>
  <c r="AE15" i="19"/>
  <c r="AG15" i="19" s="1"/>
  <c r="AE10" i="19"/>
  <c r="AE28" i="19"/>
  <c r="AE17" i="19"/>
  <c r="AG17" i="19" s="1"/>
  <c r="AE29" i="19"/>
  <c r="AE18" i="19"/>
  <c r="AG18" i="19" s="1"/>
  <c r="AE33" i="19"/>
  <c r="AE30" i="19"/>
  <c r="AE16" i="19"/>
  <c r="AG16" i="19" s="1"/>
  <c r="U30" i="19"/>
  <c r="U11" i="19"/>
  <c r="W11" i="19" s="1"/>
  <c r="U27" i="19"/>
  <c r="U21" i="19"/>
  <c r="W21" i="19" s="1"/>
  <c r="U23" i="19"/>
  <c r="W23" i="19" s="1"/>
  <c r="U14" i="19"/>
  <c r="W14" i="19" s="1"/>
  <c r="U28" i="19"/>
  <c r="U20" i="19"/>
  <c r="W20" i="19" s="1"/>
  <c r="U32" i="19"/>
  <c r="U25" i="19"/>
  <c r="U19" i="19"/>
  <c r="W19" i="19" s="1"/>
  <c r="U12" i="19"/>
  <c r="W12" i="19" s="1"/>
  <c r="U26" i="19"/>
  <c r="U33" i="19"/>
  <c r="U22" i="19"/>
  <c r="W22" i="19" s="1"/>
  <c r="U15" i="19"/>
  <c r="W15" i="19" s="1"/>
  <c r="U24" i="19"/>
  <c r="W24" i="19" s="1"/>
  <c r="U31" i="19"/>
  <c r="U17" i="19"/>
  <c r="W17" i="19" s="1"/>
  <c r="U16" i="19"/>
  <c r="W16" i="19" s="1"/>
  <c r="U10" i="19"/>
  <c r="U13" i="19"/>
  <c r="W13" i="19" s="1"/>
  <c r="U29" i="19"/>
  <c r="U18" i="19"/>
  <c r="W18" i="19" s="1"/>
  <c r="Z21" i="19"/>
  <c r="AB21" i="19" s="1"/>
  <c r="Z17" i="19"/>
  <c r="AB17" i="19" s="1"/>
  <c r="Z29" i="19"/>
  <c r="Z13" i="19"/>
  <c r="AB13" i="19" s="1"/>
  <c r="Z25" i="19"/>
  <c r="Z10" i="19"/>
  <c r="Z33" i="19"/>
  <c r="Z32" i="19"/>
  <c r="Z31" i="19"/>
  <c r="Z27" i="19"/>
  <c r="Z12" i="19"/>
  <c r="AB12" i="19" s="1"/>
  <c r="Z23" i="19"/>
  <c r="AB23" i="19" s="1"/>
  <c r="Z15" i="19"/>
  <c r="AB15" i="19" s="1"/>
  <c r="Z11" i="19"/>
  <c r="AB11" i="19" s="1"/>
  <c r="Z18" i="19"/>
  <c r="AB18" i="19" s="1"/>
  <c r="Z26" i="19"/>
  <c r="Z14" i="19"/>
  <c r="AB14" i="19" s="1"/>
  <c r="Z20" i="19"/>
  <c r="AB20" i="19" s="1"/>
  <c r="Z24" i="19"/>
  <c r="AB24" i="19" s="1"/>
  <c r="Z16" i="19"/>
  <c r="AB16" i="19" s="1"/>
  <c r="Z30" i="19"/>
  <c r="Z28" i="19"/>
  <c r="Z22" i="19"/>
  <c r="AB22" i="19" s="1"/>
  <c r="Z19" i="19"/>
  <c r="AB19" i="19" s="1"/>
  <c r="U83" i="19"/>
  <c r="U81" i="19"/>
  <c r="U89" i="19"/>
  <c r="U87" i="19"/>
  <c r="U82" i="19"/>
  <c r="U85" i="19"/>
  <c r="U79" i="19"/>
  <c r="U75" i="19"/>
  <c r="U73" i="19"/>
  <c r="U78" i="19"/>
  <c r="U68" i="19"/>
  <c r="W68" i="19" s="1"/>
  <c r="U70" i="19"/>
  <c r="W70" i="19" s="1"/>
  <c r="U86" i="19"/>
  <c r="U76" i="19"/>
  <c r="U71" i="19"/>
  <c r="W71" i="19" s="1"/>
  <c r="U80" i="19"/>
  <c r="U88" i="19"/>
  <c r="U72" i="19"/>
  <c r="W72" i="19" s="1"/>
  <c r="U67" i="19"/>
  <c r="W67" i="19" s="1"/>
  <c r="U74" i="19"/>
  <c r="U84" i="19"/>
  <c r="U69" i="19"/>
  <c r="W69" i="19" s="1"/>
  <c r="U66" i="19"/>
  <c r="U77" i="19"/>
  <c r="Z77" i="19"/>
  <c r="Z82" i="19"/>
  <c r="Z79" i="19"/>
  <c r="Z75" i="19"/>
  <c r="Z70" i="19"/>
  <c r="AB70" i="19" s="1"/>
  <c r="Z72" i="19"/>
  <c r="AB72" i="19" s="1"/>
  <c r="Z88" i="19"/>
  <c r="Z81" i="19"/>
  <c r="Z87" i="19"/>
  <c r="Z71" i="19"/>
  <c r="AB71" i="19" s="1"/>
  <c r="Z86" i="19"/>
  <c r="Z78" i="19"/>
  <c r="Z74" i="19"/>
  <c r="Z80" i="19"/>
  <c r="Z68" i="19"/>
  <c r="AB68" i="19" s="1"/>
  <c r="Z67" i="19"/>
  <c r="AB67" i="19" s="1"/>
  <c r="Z69" i="19"/>
  <c r="AB69" i="19" s="1"/>
  <c r="Z84" i="19"/>
  <c r="Z89" i="19"/>
  <c r="Z85" i="19"/>
  <c r="Z83" i="19"/>
  <c r="Z66" i="19"/>
  <c r="Z76" i="19"/>
  <c r="Z73" i="19"/>
  <c r="E126" i="5"/>
  <c r="E128" i="5"/>
  <c r="G126" i="5"/>
  <c r="E127" i="5"/>
  <c r="G129" i="5"/>
  <c r="E129" i="5"/>
  <c r="G127" i="5"/>
  <c r="G128" i="5"/>
  <c r="G90" i="19"/>
  <c r="G91" i="19"/>
  <c r="G35" i="19"/>
  <c r="G34" i="19"/>
  <c r="I39" i="11"/>
  <c r="I44" i="11"/>
  <c r="N44" i="11"/>
  <c r="N39" i="11"/>
  <c r="W26" i="19" l="1"/>
  <c r="R92" i="19"/>
  <c r="R93" i="19" s="1"/>
  <c r="R94" i="19" s="1"/>
  <c r="R95" i="19" s="1"/>
  <c r="R96" i="19" s="1"/>
  <c r="R97" i="19" s="1"/>
  <c r="R98" i="19" s="1"/>
  <c r="R99" i="19" s="1"/>
  <c r="R100" i="19" s="1"/>
  <c r="R101" i="19" s="1"/>
  <c r="R102" i="19" s="1"/>
  <c r="R103" i="19" s="1"/>
  <c r="R104" i="19" s="1"/>
  <c r="R105" i="19" s="1"/>
  <c r="R106" i="19" s="1"/>
  <c r="R107" i="19" s="1"/>
  <c r="R108" i="19" s="1"/>
  <c r="R109" i="19" s="1"/>
  <c r="R110" i="19" s="1"/>
  <c r="R111" i="19" s="1"/>
  <c r="R112" i="19" s="1"/>
  <c r="R113" i="19" s="1"/>
  <c r="R114" i="19" s="1"/>
  <c r="AG29" i="19"/>
  <c r="AG27" i="19"/>
  <c r="AG26" i="19"/>
  <c r="U92" i="19"/>
  <c r="U93" i="19" s="1"/>
  <c r="U94" i="19" s="1"/>
  <c r="U95" i="19" s="1"/>
  <c r="U96" i="19" s="1"/>
  <c r="U97" i="19" s="1"/>
  <c r="U98" i="19" s="1"/>
  <c r="U99" i="19" s="1"/>
  <c r="U100" i="19" s="1"/>
  <c r="U101" i="19" s="1"/>
  <c r="U102" i="19" s="1"/>
  <c r="U103" i="19" s="1"/>
  <c r="U104" i="19" s="1"/>
  <c r="U105" i="19" s="1"/>
  <c r="U106" i="19" s="1"/>
  <c r="U107" i="19" s="1"/>
  <c r="U108" i="19" s="1"/>
  <c r="U109" i="19" s="1"/>
  <c r="U110" i="19" s="1"/>
  <c r="U111" i="19" s="1"/>
  <c r="U112" i="19" s="1"/>
  <c r="U113" i="19" s="1"/>
  <c r="U114" i="19" s="1"/>
  <c r="AB29" i="19"/>
  <c r="R36" i="19"/>
  <c r="R37" i="19" s="1"/>
  <c r="R38" i="19" s="1"/>
  <c r="R39" i="19" s="1"/>
  <c r="R40" i="19" s="1"/>
  <c r="R41" i="19" s="1"/>
  <c r="R42" i="19" s="1"/>
  <c r="R43" i="19" s="1"/>
  <c r="R44" i="19" s="1"/>
  <c r="R45" i="19" s="1"/>
  <c r="R46" i="19" s="1"/>
  <c r="R47" i="19" s="1"/>
  <c r="R48" i="19" s="1"/>
  <c r="R49" i="19" s="1"/>
  <c r="R50" i="19" s="1"/>
  <c r="R51" i="19" s="1"/>
  <c r="R52" i="19" s="1"/>
  <c r="R53" i="19" s="1"/>
  <c r="R54" i="19" s="1"/>
  <c r="R55" i="19" s="1"/>
  <c r="R56" i="19" s="1"/>
  <c r="R57" i="19" s="1"/>
  <c r="R58" i="19" s="1"/>
  <c r="AB26" i="19"/>
  <c r="AB25" i="19"/>
  <c r="AB89" i="19"/>
  <c r="AB27" i="19"/>
  <c r="AB33" i="19"/>
  <c r="W29" i="19"/>
  <c r="W28" i="19"/>
  <c r="Z92" i="19"/>
  <c r="Z93" i="19" s="1"/>
  <c r="Z94" i="19" s="1"/>
  <c r="Z95" i="19" s="1"/>
  <c r="Z96" i="19" s="1"/>
  <c r="Z97" i="19" s="1"/>
  <c r="Z98" i="19" s="1"/>
  <c r="Z99" i="19" s="1"/>
  <c r="Z100" i="19" s="1"/>
  <c r="Z101" i="19" s="1"/>
  <c r="Z102" i="19" s="1"/>
  <c r="Z103" i="19" s="1"/>
  <c r="Z104" i="19" s="1"/>
  <c r="Z105" i="19" s="1"/>
  <c r="Z106" i="19" s="1"/>
  <c r="Z107" i="19" s="1"/>
  <c r="Z108" i="19" s="1"/>
  <c r="Z109" i="19" s="1"/>
  <c r="Z110" i="19" s="1"/>
  <c r="Z111" i="19" s="1"/>
  <c r="Z112" i="19" s="1"/>
  <c r="Z113" i="19" s="1"/>
  <c r="Z114" i="19" s="1"/>
  <c r="W89" i="19"/>
  <c r="W27" i="19"/>
  <c r="W25" i="19"/>
  <c r="AG28" i="19"/>
  <c r="AB28" i="19"/>
  <c r="W33" i="19"/>
  <c r="AG33" i="19"/>
  <c r="AG25" i="19"/>
  <c r="AG89" i="19"/>
  <c r="AE92" i="19"/>
  <c r="AE93" i="19" s="1"/>
  <c r="AE94" i="19" s="1"/>
  <c r="AE95" i="19" s="1"/>
  <c r="AE96" i="19" s="1"/>
  <c r="AE97" i="19" s="1"/>
  <c r="AE98" i="19" s="1"/>
  <c r="AE99" i="19" s="1"/>
  <c r="AE100" i="19" s="1"/>
  <c r="AE101" i="19" s="1"/>
  <c r="AE102" i="19" s="1"/>
  <c r="AE103" i="19" s="1"/>
  <c r="AE104" i="19" s="1"/>
  <c r="AE105" i="19" s="1"/>
  <c r="AE106" i="19" s="1"/>
  <c r="AE107" i="19" s="1"/>
  <c r="AE108" i="19" s="1"/>
  <c r="AE109" i="19" s="1"/>
  <c r="AE110" i="19" s="1"/>
  <c r="AE111" i="19" s="1"/>
  <c r="AE112" i="19" s="1"/>
  <c r="AE113" i="19" s="1"/>
  <c r="AE114" i="19" s="1"/>
  <c r="W30" i="19"/>
  <c r="U36" i="19"/>
  <c r="U37" i="19" s="1"/>
  <c r="U38" i="19" s="1"/>
  <c r="U39" i="19" s="1"/>
  <c r="U40" i="19" s="1"/>
  <c r="U41" i="19" s="1"/>
  <c r="U42" i="19" s="1"/>
  <c r="U43" i="19" s="1"/>
  <c r="U44" i="19" s="1"/>
  <c r="U45" i="19" s="1"/>
  <c r="U46" i="19" s="1"/>
  <c r="U47" i="19" s="1"/>
  <c r="U48" i="19" s="1"/>
  <c r="U49" i="19" s="1"/>
  <c r="U50" i="19" s="1"/>
  <c r="U51" i="19" s="1"/>
  <c r="U52" i="19" s="1"/>
  <c r="U53" i="19" s="1"/>
  <c r="U54" i="19" s="1"/>
  <c r="U55" i="19" s="1"/>
  <c r="U56" i="19" s="1"/>
  <c r="U57" i="19" s="1"/>
  <c r="U58" i="19" s="1"/>
  <c r="AG30" i="19"/>
  <c r="AE36" i="19"/>
  <c r="AE37" i="19" s="1"/>
  <c r="AE38" i="19" s="1"/>
  <c r="AE39" i="19" s="1"/>
  <c r="AE40" i="19" s="1"/>
  <c r="AE41" i="19" s="1"/>
  <c r="AE42" i="19" s="1"/>
  <c r="AE43" i="19" s="1"/>
  <c r="AE44" i="19" s="1"/>
  <c r="AE45" i="19" s="1"/>
  <c r="AE46" i="19" s="1"/>
  <c r="AE47" i="19" s="1"/>
  <c r="AE48" i="19" s="1"/>
  <c r="AE49" i="19" s="1"/>
  <c r="AE50" i="19" s="1"/>
  <c r="AE51" i="19" s="1"/>
  <c r="AE52" i="19" s="1"/>
  <c r="AE53" i="19" s="1"/>
  <c r="AE54" i="19" s="1"/>
  <c r="AE55" i="19" s="1"/>
  <c r="AE56" i="19" s="1"/>
  <c r="AE57" i="19" s="1"/>
  <c r="AE58" i="19" s="1"/>
  <c r="AB30" i="19"/>
  <c r="Z36" i="19"/>
  <c r="Z37" i="19" s="1"/>
  <c r="Z38" i="19" s="1"/>
  <c r="Z39" i="19" s="1"/>
  <c r="Z40" i="19" s="1"/>
  <c r="Z41" i="19" s="1"/>
  <c r="Z42" i="19" s="1"/>
  <c r="Z43" i="19" s="1"/>
  <c r="Z44" i="19" s="1"/>
  <c r="Z45" i="19" s="1"/>
  <c r="Z46" i="19" s="1"/>
  <c r="Z47" i="19" s="1"/>
  <c r="Z48" i="19" s="1"/>
  <c r="Z49" i="19" s="1"/>
  <c r="Z50" i="19" s="1"/>
  <c r="Z51" i="19" s="1"/>
  <c r="Z52" i="19" s="1"/>
  <c r="Z53" i="19" s="1"/>
  <c r="Z54" i="19" s="1"/>
  <c r="Z55" i="19" s="1"/>
  <c r="Z56" i="19" s="1"/>
  <c r="Z57" i="19" s="1"/>
  <c r="Z58" i="19" s="1"/>
  <c r="AG74" i="19"/>
  <c r="AB77" i="19"/>
  <c r="W73" i="19"/>
  <c r="AG75" i="19"/>
  <c r="AG77" i="19"/>
  <c r="AB79" i="19"/>
  <c r="AB84" i="19"/>
  <c r="W81" i="19"/>
  <c r="AG81" i="19"/>
  <c r="AB73" i="19"/>
  <c r="W77" i="19"/>
  <c r="AB80" i="19"/>
  <c r="W76" i="19"/>
  <c r="W85" i="19"/>
  <c r="AG80" i="19"/>
  <c r="AB86" i="19"/>
  <c r="AG73" i="19"/>
  <c r="AB82" i="19"/>
  <c r="W78" i="19"/>
  <c r="AB81" i="19"/>
  <c r="W75" i="19"/>
  <c r="AB76" i="19"/>
  <c r="W79" i="19"/>
  <c r="AG78" i="19"/>
  <c r="AB74" i="19"/>
  <c r="W84" i="19"/>
  <c r="W86" i="19"/>
  <c r="W82" i="19"/>
  <c r="AG85" i="19"/>
  <c r="W80" i="19"/>
  <c r="AG76" i="19"/>
  <c r="AG79" i="19"/>
  <c r="AG82" i="19"/>
  <c r="AB85" i="19"/>
  <c r="AB78" i="19"/>
  <c r="AB75" i="19"/>
  <c r="W74" i="19"/>
  <c r="AG86" i="19"/>
  <c r="AG84" i="19"/>
  <c r="W83" i="19"/>
  <c r="AB83" i="19"/>
  <c r="AG83" i="19"/>
  <c r="W31" i="19"/>
  <c r="AB31" i="19"/>
  <c r="AG87" i="19"/>
  <c r="W87" i="19"/>
  <c r="AB87" i="19"/>
  <c r="AG31" i="19"/>
  <c r="W88" i="19"/>
  <c r="W32" i="19"/>
  <c r="AB32" i="19"/>
  <c r="AB88" i="19"/>
  <c r="AG32" i="19"/>
  <c r="AG88" i="19"/>
  <c r="AJ86" i="19"/>
  <c r="AJ88" i="19"/>
  <c r="AJ87" i="19"/>
  <c r="AJ83" i="19"/>
  <c r="AJ80" i="19"/>
  <c r="AJ82" i="19"/>
  <c r="AJ78" i="19"/>
  <c r="AJ73" i="19"/>
  <c r="AJ70" i="19"/>
  <c r="AL70" i="19" s="1"/>
  <c r="AJ69" i="19"/>
  <c r="AL69" i="19" s="1"/>
  <c r="AJ81" i="19"/>
  <c r="AJ67" i="19"/>
  <c r="AL67" i="19" s="1"/>
  <c r="AJ85" i="19"/>
  <c r="AJ76" i="19"/>
  <c r="AJ77" i="19"/>
  <c r="AJ74" i="19"/>
  <c r="AJ66" i="19"/>
  <c r="AJ89" i="19"/>
  <c r="AJ72" i="19"/>
  <c r="AL72" i="19" s="1"/>
  <c r="AJ68" i="19"/>
  <c r="AL68" i="19" s="1"/>
  <c r="AJ71" i="19"/>
  <c r="AL71" i="19" s="1"/>
  <c r="AJ79" i="19"/>
  <c r="AJ75" i="19"/>
  <c r="AJ84" i="19"/>
  <c r="K19" i="19"/>
  <c r="M19" i="19" s="1"/>
  <c r="K10" i="19"/>
  <c r="K33" i="19"/>
  <c r="K25" i="19"/>
  <c r="K22" i="19"/>
  <c r="M22" i="19" s="1"/>
  <c r="K12" i="19"/>
  <c r="M12" i="19" s="1"/>
  <c r="K14" i="19"/>
  <c r="M14" i="19" s="1"/>
  <c r="K29" i="19"/>
  <c r="K30" i="19"/>
  <c r="K23" i="19"/>
  <c r="M23" i="19" s="1"/>
  <c r="K20" i="19"/>
  <c r="M20" i="19" s="1"/>
  <c r="K18" i="19"/>
  <c r="M18" i="19" s="1"/>
  <c r="K31" i="19"/>
  <c r="K28" i="19"/>
  <c r="K27" i="19"/>
  <c r="K13" i="19"/>
  <c r="M13" i="19" s="1"/>
  <c r="K15" i="19"/>
  <c r="M15" i="19" s="1"/>
  <c r="K24" i="19"/>
  <c r="M24" i="19" s="1"/>
  <c r="K16" i="19"/>
  <c r="M16" i="19" s="1"/>
  <c r="K11" i="19"/>
  <c r="M11" i="19" s="1"/>
  <c r="K17" i="19"/>
  <c r="M17" i="19" s="1"/>
  <c r="K32" i="19"/>
  <c r="K26" i="19"/>
  <c r="K21" i="19"/>
  <c r="M21" i="19" s="1"/>
  <c r="K70" i="19"/>
  <c r="M70" i="19" s="1"/>
  <c r="K79" i="19"/>
  <c r="K75" i="19"/>
  <c r="K73" i="19"/>
  <c r="K66" i="19"/>
  <c r="K83" i="19"/>
  <c r="K72" i="19"/>
  <c r="M72" i="19" s="1"/>
  <c r="K81" i="19"/>
  <c r="K82" i="19"/>
  <c r="K88" i="19"/>
  <c r="K84" i="19"/>
  <c r="K76" i="19"/>
  <c r="K71" i="19"/>
  <c r="M71" i="19" s="1"/>
  <c r="K69" i="19"/>
  <c r="M69" i="19" s="1"/>
  <c r="K68" i="19"/>
  <c r="M68" i="19" s="1"/>
  <c r="K78" i="19"/>
  <c r="K77" i="19"/>
  <c r="K74" i="19"/>
  <c r="K67" i="19"/>
  <c r="M67" i="19" s="1"/>
  <c r="K87" i="19"/>
  <c r="K80" i="19"/>
  <c r="K89" i="19"/>
  <c r="K85" i="19"/>
  <c r="K86" i="19"/>
  <c r="AJ18" i="19"/>
  <c r="AL18" i="19" s="1"/>
  <c r="AJ29" i="19"/>
  <c r="AJ26" i="19"/>
  <c r="AJ20" i="19"/>
  <c r="AL20" i="19" s="1"/>
  <c r="AJ12" i="19"/>
  <c r="AL12" i="19" s="1"/>
  <c r="AJ22" i="19"/>
  <c r="AL22" i="19" s="1"/>
  <c r="AJ30" i="19"/>
  <c r="AJ28" i="19"/>
  <c r="AJ25" i="19"/>
  <c r="AJ19" i="19"/>
  <c r="AL19" i="19" s="1"/>
  <c r="AJ13" i="19"/>
  <c r="AL13" i="19" s="1"/>
  <c r="AJ24" i="19"/>
  <c r="AL24" i="19" s="1"/>
  <c r="AJ14" i="19"/>
  <c r="AL14" i="19" s="1"/>
  <c r="AJ11" i="19"/>
  <c r="AL11" i="19" s="1"/>
  <c r="AJ17" i="19"/>
  <c r="AL17" i="19" s="1"/>
  <c r="AJ21" i="19"/>
  <c r="AL21" i="19" s="1"/>
  <c r="AJ32" i="19"/>
  <c r="AJ15" i="19"/>
  <c r="AL15" i="19" s="1"/>
  <c r="AJ33" i="19"/>
  <c r="AJ23" i="19"/>
  <c r="AL23" i="19" s="1"/>
  <c r="AJ27" i="19"/>
  <c r="AJ16" i="19"/>
  <c r="AL16" i="19" s="1"/>
  <c r="AJ10" i="19"/>
  <c r="AJ31" i="19"/>
  <c r="I127" i="5"/>
  <c r="I128" i="5"/>
  <c r="I129" i="5"/>
  <c r="I126" i="5"/>
  <c r="E130" i="5"/>
  <c r="G125" i="5"/>
  <c r="G130" i="5"/>
  <c r="E125" i="5"/>
  <c r="AE35" i="19"/>
  <c r="AE34" i="19"/>
  <c r="AE90" i="19"/>
  <c r="AE91" i="19"/>
  <c r="Z91" i="19"/>
  <c r="Z90" i="19"/>
  <c r="U90" i="19"/>
  <c r="U91" i="19"/>
  <c r="U34" i="19"/>
  <c r="U35" i="19"/>
  <c r="Z35" i="19"/>
  <c r="Z34" i="19"/>
  <c r="P34" i="19"/>
  <c r="P35" i="19"/>
  <c r="P90" i="19"/>
  <c r="P91" i="19"/>
  <c r="AG10" i="19"/>
  <c r="W10" i="19"/>
  <c r="AB10" i="19"/>
  <c r="W66" i="19"/>
  <c r="AB66" i="19"/>
  <c r="R10" i="19"/>
  <c r="AG66" i="19"/>
  <c r="R66" i="19"/>
  <c r="W92" i="19" l="1"/>
  <c r="AL29" i="19"/>
  <c r="M89" i="19"/>
  <c r="M28" i="19"/>
  <c r="AG92" i="19"/>
  <c r="AG93" i="19" s="1"/>
  <c r="AG94" i="19" s="1"/>
  <c r="AG95" i="19" s="1"/>
  <c r="AG96" i="19" s="1"/>
  <c r="AG97" i="19" s="1"/>
  <c r="AG98" i="19" s="1"/>
  <c r="AG99" i="19" s="1"/>
  <c r="AG100" i="19" s="1"/>
  <c r="AG101" i="19" s="1"/>
  <c r="AG102" i="19" s="1"/>
  <c r="AG103" i="19" s="1"/>
  <c r="AG104" i="19" s="1"/>
  <c r="AG105" i="19" s="1"/>
  <c r="AG106" i="19" s="1"/>
  <c r="AG107" i="19" s="1"/>
  <c r="AG108" i="19" s="1"/>
  <c r="AG109" i="19" s="1"/>
  <c r="AG110" i="19" s="1"/>
  <c r="AG111" i="19" s="1"/>
  <c r="AG112" i="19" s="1"/>
  <c r="AG113" i="19" s="1"/>
  <c r="AG114" i="19" s="1"/>
  <c r="AB36" i="19"/>
  <c r="AB37" i="19" s="1"/>
  <c r="AB38" i="19" s="1"/>
  <c r="AB39" i="19" s="1"/>
  <c r="AB40" i="19" s="1"/>
  <c r="AB41" i="19" s="1"/>
  <c r="AB42" i="19" s="1"/>
  <c r="AB43" i="19" s="1"/>
  <c r="AB44" i="19" s="1"/>
  <c r="AB45" i="19" s="1"/>
  <c r="AB46" i="19" s="1"/>
  <c r="AB47" i="19" s="1"/>
  <c r="AB48" i="19" s="1"/>
  <c r="AB49" i="19" s="1"/>
  <c r="AB50" i="19" s="1"/>
  <c r="AB51" i="19" s="1"/>
  <c r="AB52" i="19" s="1"/>
  <c r="AB53" i="19" s="1"/>
  <c r="AB54" i="19" s="1"/>
  <c r="AB55" i="19" s="1"/>
  <c r="AB56" i="19" s="1"/>
  <c r="AB57" i="19" s="1"/>
  <c r="AB58" i="19" s="1"/>
  <c r="AL27" i="19"/>
  <c r="E258" i="5"/>
  <c r="AL33" i="19"/>
  <c r="AL26" i="19"/>
  <c r="E232" i="5"/>
  <c r="AL89" i="19"/>
  <c r="G258" i="5"/>
  <c r="AL25" i="19"/>
  <c r="W36" i="19"/>
  <c r="G232" i="5"/>
  <c r="M25" i="19"/>
  <c r="AL28" i="19"/>
  <c r="M29" i="19"/>
  <c r="AB92" i="19"/>
  <c r="M33" i="19"/>
  <c r="AG36" i="19"/>
  <c r="AG37" i="19" s="1"/>
  <c r="AG38" i="19" s="1"/>
  <c r="AG39" i="19" s="1"/>
  <c r="AG40" i="19" s="1"/>
  <c r="AG41" i="19" s="1"/>
  <c r="AG42" i="19" s="1"/>
  <c r="AG43" i="19" s="1"/>
  <c r="AG44" i="19" s="1"/>
  <c r="AG45" i="19" s="1"/>
  <c r="AG46" i="19" s="1"/>
  <c r="AG47" i="19" s="1"/>
  <c r="AG48" i="19" s="1"/>
  <c r="AG49" i="19" s="1"/>
  <c r="AG50" i="19" s="1"/>
  <c r="AG51" i="19" s="1"/>
  <c r="AG52" i="19" s="1"/>
  <c r="AG53" i="19" s="1"/>
  <c r="AG54" i="19" s="1"/>
  <c r="AG55" i="19" s="1"/>
  <c r="AG56" i="19" s="1"/>
  <c r="AG57" i="19" s="1"/>
  <c r="AG58" i="19" s="1"/>
  <c r="M26" i="19"/>
  <c r="M27" i="19"/>
  <c r="AJ92" i="19"/>
  <c r="K92" i="19"/>
  <c r="K93" i="19" s="1"/>
  <c r="K94" i="19" s="1"/>
  <c r="K95" i="19"/>
  <c r="K96" i="19" s="1"/>
  <c r="K97" i="19" s="1"/>
  <c r="K98" i="19" s="1"/>
  <c r="K99" i="19" s="1"/>
  <c r="K100" i="19" s="1"/>
  <c r="K101" i="19" s="1"/>
  <c r="K102" i="19" s="1"/>
  <c r="K103" i="19" s="1"/>
  <c r="K104" i="19" s="1"/>
  <c r="K105" i="19" s="1"/>
  <c r="K106" i="19" s="1"/>
  <c r="K107" i="19" s="1"/>
  <c r="K108" i="19" s="1"/>
  <c r="K109" i="19" s="1"/>
  <c r="K110" i="19" s="1"/>
  <c r="K111" i="19" s="1"/>
  <c r="K112" i="19" s="1"/>
  <c r="K113" i="19" s="1"/>
  <c r="K114" i="19" s="1"/>
  <c r="AB93" i="19"/>
  <c r="AB94" i="19" s="1"/>
  <c r="AB95" i="19" s="1"/>
  <c r="AB96" i="19" s="1"/>
  <c r="AB97" i="19" s="1"/>
  <c r="AB98" i="19" s="1"/>
  <c r="AB99" i="19" s="1"/>
  <c r="AB100" i="19" s="1"/>
  <c r="AB101" i="19" s="1"/>
  <c r="AB102" i="19" s="1"/>
  <c r="AB103" i="19" s="1"/>
  <c r="AB104" i="19" s="1"/>
  <c r="AB105" i="19" s="1"/>
  <c r="AB106" i="19" s="1"/>
  <c r="AB107" i="19" s="1"/>
  <c r="AB108" i="19" s="1"/>
  <c r="AB109" i="19" s="1"/>
  <c r="AB110" i="19" s="1"/>
  <c r="AB111" i="19" s="1"/>
  <c r="AB112" i="19" s="1"/>
  <c r="AB113" i="19" s="1"/>
  <c r="AB114" i="19" s="1"/>
  <c r="AL30" i="19"/>
  <c r="AJ36" i="19"/>
  <c r="AJ37" i="19" s="1"/>
  <c r="AJ38" i="19" s="1"/>
  <c r="AJ39" i="19" s="1"/>
  <c r="AJ40" i="19" s="1"/>
  <c r="AJ41" i="19" s="1"/>
  <c r="AJ42" i="19" s="1"/>
  <c r="AJ43" i="19" s="1"/>
  <c r="AJ44" i="19" s="1"/>
  <c r="AJ45" i="19" s="1"/>
  <c r="AJ46" i="19" s="1"/>
  <c r="AJ47" i="19" s="1"/>
  <c r="AJ48" i="19" s="1"/>
  <c r="AJ49" i="19" s="1"/>
  <c r="AJ50" i="19" s="1"/>
  <c r="AJ51" i="19" s="1"/>
  <c r="AJ52" i="19" s="1"/>
  <c r="AJ53" i="19" s="1"/>
  <c r="AJ54" i="19" s="1"/>
  <c r="AJ55" i="19" s="1"/>
  <c r="AJ56" i="19" s="1"/>
  <c r="AJ57" i="19" s="1"/>
  <c r="AJ58" i="19" s="1"/>
  <c r="W93" i="19"/>
  <c r="W94" i="19" s="1"/>
  <c r="W95" i="19" s="1"/>
  <c r="W96" i="19" s="1"/>
  <c r="W97" i="19" s="1"/>
  <c r="W98" i="19" s="1"/>
  <c r="W99" i="19" s="1"/>
  <c r="W100" i="19" s="1"/>
  <c r="W101" i="19" s="1"/>
  <c r="W102" i="19" s="1"/>
  <c r="W103" i="19" s="1"/>
  <c r="W104" i="19" s="1"/>
  <c r="W105" i="19" s="1"/>
  <c r="W106" i="19" s="1"/>
  <c r="W107" i="19" s="1"/>
  <c r="W108" i="19" s="1"/>
  <c r="W109" i="19" s="1"/>
  <c r="W110" i="19" s="1"/>
  <c r="W111" i="19" s="1"/>
  <c r="W112" i="19" s="1"/>
  <c r="W113" i="19" s="1"/>
  <c r="W114" i="19" s="1"/>
  <c r="M30" i="19"/>
  <c r="K36" i="19"/>
  <c r="K37" i="19" s="1"/>
  <c r="K38" i="19" s="1"/>
  <c r="K39" i="19" s="1"/>
  <c r="K40" i="19" s="1"/>
  <c r="K41" i="19" s="1"/>
  <c r="K42" i="19" s="1"/>
  <c r="K43" i="19" s="1"/>
  <c r="K44" i="19" s="1"/>
  <c r="K45" i="19" s="1"/>
  <c r="K46" i="19" s="1"/>
  <c r="K47" i="19" s="1"/>
  <c r="K48" i="19" s="1"/>
  <c r="K49" i="19" s="1"/>
  <c r="K50" i="19" s="1"/>
  <c r="K51" i="19" s="1"/>
  <c r="K52" i="19" s="1"/>
  <c r="K53" i="19" s="1"/>
  <c r="K54" i="19" s="1"/>
  <c r="K55" i="19" s="1"/>
  <c r="K56" i="19" s="1"/>
  <c r="K57" i="19" s="1"/>
  <c r="K58" i="19" s="1"/>
  <c r="AJ93" i="19"/>
  <c r="AJ94" i="19" s="1"/>
  <c r="AJ95" i="19" s="1"/>
  <c r="AJ96" i="19" s="1"/>
  <c r="AJ97" i="19" s="1"/>
  <c r="AJ98" i="19" s="1"/>
  <c r="AJ99" i="19" s="1"/>
  <c r="AJ100" i="19" s="1"/>
  <c r="AJ101" i="19" s="1"/>
  <c r="AJ102" i="19" s="1"/>
  <c r="AJ103" i="19" s="1"/>
  <c r="AJ104" i="19" s="1"/>
  <c r="AJ105" i="19" s="1"/>
  <c r="AJ106" i="19" s="1"/>
  <c r="AJ107" i="19" s="1"/>
  <c r="AJ108" i="19" s="1"/>
  <c r="AJ109" i="19" s="1"/>
  <c r="AJ110" i="19" s="1"/>
  <c r="AJ111" i="19" s="1"/>
  <c r="AJ112" i="19" s="1"/>
  <c r="AJ113" i="19" s="1"/>
  <c r="AJ114" i="19" s="1"/>
  <c r="W37" i="19"/>
  <c r="W38" i="19" s="1"/>
  <c r="W39" i="19" s="1"/>
  <c r="W40" i="19" s="1"/>
  <c r="W41" i="19" s="1"/>
  <c r="W42" i="19" s="1"/>
  <c r="W43" i="19" s="1"/>
  <c r="W44" i="19" s="1"/>
  <c r="W45" i="19" s="1"/>
  <c r="W46" i="19" s="1"/>
  <c r="W47" i="19" s="1"/>
  <c r="W48" i="19" s="1"/>
  <c r="W49" i="19" s="1"/>
  <c r="W50" i="19" s="1"/>
  <c r="W51" i="19" s="1"/>
  <c r="W52" i="19" s="1"/>
  <c r="W53" i="19" s="1"/>
  <c r="W54" i="19" s="1"/>
  <c r="W55" i="19" s="1"/>
  <c r="W56" i="19" s="1"/>
  <c r="W57" i="19" s="1"/>
  <c r="W58" i="19" s="1"/>
  <c r="M84" i="19"/>
  <c r="M77" i="19"/>
  <c r="M82" i="19"/>
  <c r="AL86" i="19"/>
  <c r="M78" i="19"/>
  <c r="AL84" i="19"/>
  <c r="AL79" i="19"/>
  <c r="AL76" i="19"/>
  <c r="AL82" i="19"/>
  <c r="M79" i="19"/>
  <c r="AL75" i="19"/>
  <c r="AL77" i="19"/>
  <c r="AL78" i="19"/>
  <c r="M80" i="19"/>
  <c r="AL85" i="19"/>
  <c r="AL80" i="19"/>
  <c r="M75" i="19"/>
  <c r="AL81" i="19"/>
  <c r="M74" i="19"/>
  <c r="M86" i="19"/>
  <c r="M81" i="19"/>
  <c r="AL74" i="19"/>
  <c r="AL73" i="19"/>
  <c r="M85" i="19"/>
  <c r="M76" i="19"/>
  <c r="M73" i="19"/>
  <c r="M83" i="19"/>
  <c r="AL83" i="19"/>
  <c r="AL31" i="19"/>
  <c r="M31" i="19"/>
  <c r="M87" i="19"/>
  <c r="AL87" i="19"/>
  <c r="M32" i="19"/>
  <c r="M88" i="19"/>
  <c r="AL88" i="19"/>
  <c r="AL32" i="19"/>
  <c r="I130" i="5"/>
  <c r="I125" i="5"/>
  <c r="AB34" i="19"/>
  <c r="E207" i="5" s="1"/>
  <c r="AG35" i="19"/>
  <c r="AG34" i="19"/>
  <c r="E233" i="5" s="1"/>
  <c r="AJ90" i="19"/>
  <c r="AJ91" i="19"/>
  <c r="AG90" i="19"/>
  <c r="G233" i="5" s="1"/>
  <c r="AG91" i="19"/>
  <c r="J35" i="20" s="1"/>
  <c r="AJ35" i="19"/>
  <c r="AJ34" i="19"/>
  <c r="F32" i="19"/>
  <c r="F33" i="19"/>
  <c r="F20" i="19"/>
  <c r="F23" i="19"/>
  <c r="F26" i="19"/>
  <c r="F10" i="19"/>
  <c r="K35" i="19"/>
  <c r="K34" i="19"/>
  <c r="W90" i="19"/>
  <c r="W91" i="19"/>
  <c r="AB35" i="19"/>
  <c r="E208" i="5" s="1"/>
  <c r="AB90" i="19"/>
  <c r="G207" i="5" s="1"/>
  <c r="AB91" i="19"/>
  <c r="J34" i="20" s="1"/>
  <c r="W34" i="19"/>
  <c r="W35" i="19"/>
  <c r="F31" i="19"/>
  <c r="F21" i="19"/>
  <c r="F66" i="19"/>
  <c r="K90" i="19"/>
  <c r="K91" i="19"/>
  <c r="R90" i="19"/>
  <c r="R91" i="19"/>
  <c r="R34" i="19"/>
  <c r="R35" i="19"/>
  <c r="F29" i="19"/>
  <c r="F30" i="19"/>
  <c r="F75" i="19"/>
  <c r="F74" i="19"/>
  <c r="H71" i="19"/>
  <c r="F71" i="19"/>
  <c r="H70" i="19"/>
  <c r="F70" i="19"/>
  <c r="F88" i="19"/>
  <c r="F22" i="19"/>
  <c r="F25" i="19"/>
  <c r="F11" i="19"/>
  <c r="F86" i="19"/>
  <c r="F81" i="19"/>
  <c r="F89" i="19"/>
  <c r="F18" i="19"/>
  <c r="F80" i="19"/>
  <c r="H13" i="19"/>
  <c r="F13" i="19"/>
  <c r="H69" i="19"/>
  <c r="F69" i="19"/>
  <c r="H72" i="19"/>
  <c r="F72" i="19"/>
  <c r="H67" i="19"/>
  <c r="F67" i="19"/>
  <c r="H15" i="19"/>
  <c r="F15" i="19"/>
  <c r="H16" i="19"/>
  <c r="F16" i="19"/>
  <c r="F24" i="19"/>
  <c r="F79" i="19"/>
  <c r="F82" i="19"/>
  <c r="F76" i="19"/>
  <c r="H14" i="19"/>
  <c r="F14" i="19"/>
  <c r="H12" i="19"/>
  <c r="F12" i="19"/>
  <c r="F84" i="19"/>
  <c r="F28" i="19"/>
  <c r="F83" i="19"/>
  <c r="F85" i="19"/>
  <c r="H68" i="19"/>
  <c r="F68" i="19"/>
  <c r="F17" i="19"/>
  <c r="F77" i="19"/>
  <c r="F27" i="19"/>
  <c r="F19" i="19"/>
  <c r="F73" i="19"/>
  <c r="F87" i="19"/>
  <c r="F78" i="19"/>
  <c r="AL66" i="19"/>
  <c r="M10" i="19"/>
  <c r="M66" i="19"/>
  <c r="AL10" i="19"/>
  <c r="I258" i="5" l="1"/>
  <c r="H89" i="19"/>
  <c r="G180" i="5" s="1"/>
  <c r="I232" i="5"/>
  <c r="AL36" i="19"/>
  <c r="AL37" i="19" s="1"/>
  <c r="AL38" i="19" s="1"/>
  <c r="AL39" i="19" s="1"/>
  <c r="AL40" i="19" s="1"/>
  <c r="AL41" i="19" s="1"/>
  <c r="AL42" i="19" s="1"/>
  <c r="AL43" i="19" s="1"/>
  <c r="AL44" i="19" s="1"/>
  <c r="AL45" i="19" s="1"/>
  <c r="AL46" i="19" s="1"/>
  <c r="AL47" i="19" s="1"/>
  <c r="AL48" i="19" s="1"/>
  <c r="AL49" i="19" s="1"/>
  <c r="AL50" i="19" s="1"/>
  <c r="AL51" i="19" s="1"/>
  <c r="AL52" i="19" s="1"/>
  <c r="AL53" i="19" s="1"/>
  <c r="AL54" i="19" s="1"/>
  <c r="AL55" i="19" s="1"/>
  <c r="AL56" i="19" s="1"/>
  <c r="AL57" i="19" s="1"/>
  <c r="AL58" i="19" s="1"/>
  <c r="E206" i="5"/>
  <c r="E284" i="5"/>
  <c r="G284" i="5"/>
  <c r="AL92" i="19"/>
  <c r="AL93" i="19" s="1"/>
  <c r="AL94" i="19" s="1"/>
  <c r="AL95" i="19" s="1"/>
  <c r="AL96" i="19" s="1"/>
  <c r="AL97" i="19" s="1"/>
  <c r="AL98" i="19" s="1"/>
  <c r="AL99" i="19" s="1"/>
  <c r="AL100" i="19" s="1"/>
  <c r="AL101" i="19" s="1"/>
  <c r="AL102" i="19" s="1"/>
  <c r="AL103" i="19" s="1"/>
  <c r="AL104" i="19" s="1"/>
  <c r="AL105" i="19" s="1"/>
  <c r="AL106" i="19" s="1"/>
  <c r="AL107" i="19" s="1"/>
  <c r="AL108" i="19" s="1"/>
  <c r="AL109" i="19" s="1"/>
  <c r="AL110" i="19" s="1"/>
  <c r="AL111" i="19" s="1"/>
  <c r="AL112" i="19" s="1"/>
  <c r="AL113" i="19" s="1"/>
  <c r="AL114" i="19" s="1"/>
  <c r="F36" i="19"/>
  <c r="G206" i="5"/>
  <c r="F92" i="19"/>
  <c r="F93" i="19" s="1"/>
  <c r="F94" i="19" s="1"/>
  <c r="F95" i="19" s="1"/>
  <c r="F96" i="19" s="1"/>
  <c r="F97" i="19" s="1"/>
  <c r="F98" i="19" s="1"/>
  <c r="F99" i="19" s="1"/>
  <c r="F100" i="19" s="1"/>
  <c r="F101" i="19" s="1"/>
  <c r="F102" i="19" s="1"/>
  <c r="F103" i="19" s="1"/>
  <c r="F104" i="19" s="1"/>
  <c r="F105" i="19" s="1"/>
  <c r="F106" i="19" s="1"/>
  <c r="F107" i="19" s="1"/>
  <c r="F108" i="19" s="1"/>
  <c r="F109" i="19" s="1"/>
  <c r="F110" i="19" s="1"/>
  <c r="F111" i="19" s="1"/>
  <c r="F112" i="19" s="1"/>
  <c r="F113" i="19" s="1"/>
  <c r="F114" i="19" s="1"/>
  <c r="M92" i="19"/>
  <c r="M93" i="19" s="1"/>
  <c r="M36" i="19"/>
  <c r="M37" i="19" s="1"/>
  <c r="F37" i="19"/>
  <c r="F38" i="19" s="1"/>
  <c r="F39" i="19" s="1"/>
  <c r="F40" i="19" s="1"/>
  <c r="F41" i="19" s="1"/>
  <c r="F42" i="19" s="1"/>
  <c r="F43" i="19" s="1"/>
  <c r="F44" i="19" s="1"/>
  <c r="F45" i="19" s="1"/>
  <c r="F46" i="19" s="1"/>
  <c r="F47" i="19" s="1"/>
  <c r="F48" i="19" s="1"/>
  <c r="F49" i="19" s="1"/>
  <c r="F50" i="19" s="1"/>
  <c r="F51" i="19" s="1"/>
  <c r="F52" i="19" s="1"/>
  <c r="F53" i="19" s="1"/>
  <c r="F54" i="19" s="1"/>
  <c r="F55" i="19" s="1"/>
  <c r="F56" i="19" s="1"/>
  <c r="F57" i="19" s="1"/>
  <c r="F58" i="19" s="1"/>
  <c r="G236" i="5"/>
  <c r="G235" i="5"/>
  <c r="H81" i="19"/>
  <c r="H76" i="19"/>
  <c r="H84" i="19"/>
  <c r="H82" i="19"/>
  <c r="H77" i="19"/>
  <c r="H80" i="19"/>
  <c r="E235" i="5"/>
  <c r="G35" i="20"/>
  <c r="E209" i="5"/>
  <c r="G34" i="20"/>
  <c r="H78" i="19"/>
  <c r="H74" i="19"/>
  <c r="H75" i="19"/>
  <c r="G210" i="5"/>
  <c r="G209" i="5"/>
  <c r="H79" i="19"/>
  <c r="H83" i="19"/>
  <c r="I207" i="5"/>
  <c r="I233" i="5"/>
  <c r="E234" i="5"/>
  <c r="G234" i="5"/>
  <c r="G208" i="5"/>
  <c r="I208" i="5" s="1"/>
  <c r="G237" i="5"/>
  <c r="G211" i="5"/>
  <c r="E236" i="5"/>
  <c r="E210" i="5"/>
  <c r="H87" i="19"/>
  <c r="H85" i="19"/>
  <c r="H86" i="19"/>
  <c r="H88" i="19"/>
  <c r="AL34" i="19"/>
  <c r="AL35" i="19"/>
  <c r="G36" i="20" s="1"/>
  <c r="AL91" i="19"/>
  <c r="J36" i="20" s="1"/>
  <c r="AL90" i="19"/>
  <c r="G259" i="5" s="1"/>
  <c r="H73" i="19"/>
  <c r="H17" i="19"/>
  <c r="H11" i="19"/>
  <c r="H24" i="19"/>
  <c r="H27" i="19"/>
  <c r="H33" i="19"/>
  <c r="H32" i="19"/>
  <c r="H26" i="19"/>
  <c r="H30" i="19"/>
  <c r="M91" i="19"/>
  <c r="J33" i="20" s="1"/>
  <c r="M90" i="19"/>
  <c r="G181" i="5" s="1"/>
  <c r="M34" i="19"/>
  <c r="E181" i="5" s="1"/>
  <c r="M35" i="19"/>
  <c r="F91" i="19"/>
  <c r="F90" i="19"/>
  <c r="F35" i="19"/>
  <c r="F34" i="19"/>
  <c r="H28" i="19"/>
  <c r="H21" i="19"/>
  <c r="H20" i="19"/>
  <c r="H18" i="19"/>
  <c r="H25" i="19"/>
  <c r="H19" i="19"/>
  <c r="H29" i="19"/>
  <c r="H10" i="19"/>
  <c r="H31" i="19"/>
  <c r="H22" i="19"/>
  <c r="H23" i="19"/>
  <c r="H66" i="19"/>
  <c r="G183" i="5" l="1"/>
  <c r="I206" i="5"/>
  <c r="E261" i="5"/>
  <c r="I284" i="5"/>
  <c r="H92" i="19"/>
  <c r="E180" i="5"/>
  <c r="I180" i="5" s="1"/>
  <c r="H36" i="19"/>
  <c r="H37" i="19" s="1"/>
  <c r="H38" i="19" s="1"/>
  <c r="H39" i="19" s="1"/>
  <c r="H40" i="19" s="1"/>
  <c r="H41" i="19" s="1"/>
  <c r="H42" i="19" s="1"/>
  <c r="H43" i="19" s="1"/>
  <c r="H44" i="19" s="1"/>
  <c r="H45" i="19" s="1"/>
  <c r="H46" i="19" s="1"/>
  <c r="H47" i="19" s="1"/>
  <c r="H48" i="19" s="1"/>
  <c r="H49" i="19" s="1"/>
  <c r="H50" i="19" s="1"/>
  <c r="H51" i="19" s="1"/>
  <c r="H52" i="19" s="1"/>
  <c r="H53" i="19" s="1"/>
  <c r="H54" i="19" s="1"/>
  <c r="H55" i="19" s="1"/>
  <c r="H56" i="19" s="1"/>
  <c r="H57" i="19" s="1"/>
  <c r="H58" i="19" s="1"/>
  <c r="H93" i="19"/>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M94" i="19"/>
  <c r="G184" i="5"/>
  <c r="E183" i="5"/>
  <c r="M38" i="19"/>
  <c r="E184" i="5"/>
  <c r="I235" i="5"/>
  <c r="I236" i="5"/>
  <c r="I209" i="5"/>
  <c r="I210" i="5"/>
  <c r="G261" i="5"/>
  <c r="E262" i="5"/>
  <c r="G262" i="5"/>
  <c r="I234" i="5"/>
  <c r="E34" i="20"/>
  <c r="E35" i="20"/>
  <c r="E182" i="5"/>
  <c r="G182" i="5"/>
  <c r="I181" i="5"/>
  <c r="E260" i="5"/>
  <c r="E259" i="5"/>
  <c r="I259" i="5" s="1"/>
  <c r="E36" i="20"/>
  <c r="G260" i="5"/>
  <c r="G238" i="5"/>
  <c r="E237" i="5"/>
  <c r="I237" i="5" s="1"/>
  <c r="G212" i="5"/>
  <c r="E211" i="5"/>
  <c r="I211" i="5" s="1"/>
  <c r="H91" i="19"/>
  <c r="H90" i="19"/>
  <c r="G155" i="5" s="1"/>
  <c r="H35" i="19"/>
  <c r="G31" i="20" s="1"/>
  <c r="H34" i="19"/>
  <c r="I261" i="5" l="1"/>
  <c r="M39" i="19"/>
  <c r="E185" i="5"/>
  <c r="M95" i="19"/>
  <c r="G185" i="5"/>
  <c r="G32" i="20"/>
  <c r="J31" i="20"/>
  <c r="E31" i="20" s="1"/>
  <c r="J32" i="20"/>
  <c r="I183" i="5"/>
  <c r="G33" i="20"/>
  <c r="G157" i="5"/>
  <c r="I262" i="5"/>
  <c r="G263" i="5"/>
  <c r="E263" i="5"/>
  <c r="I182" i="5"/>
  <c r="I260" i="5"/>
  <c r="E238" i="5"/>
  <c r="I238" i="5" s="1"/>
  <c r="G239" i="5"/>
  <c r="E212" i="5"/>
  <c r="I212" i="5" s="1"/>
  <c r="G213" i="5"/>
  <c r="E157" i="5"/>
  <c r="E155" i="5"/>
  <c r="I155" i="5" s="1"/>
  <c r="G156" i="5"/>
  <c r="E156" i="5"/>
  <c r="M96" i="19" l="1"/>
  <c r="G186" i="5"/>
  <c r="M40" i="19"/>
  <c r="E186" i="5"/>
  <c r="I157" i="5"/>
  <c r="E33" i="20"/>
  <c r="I184" i="5"/>
  <c r="I263" i="5"/>
  <c r="E264" i="5"/>
  <c r="G264" i="5"/>
  <c r="G240" i="5"/>
  <c r="E239" i="5"/>
  <c r="I239" i="5" s="1"/>
  <c r="G214" i="5"/>
  <c r="E213" i="5"/>
  <c r="I213" i="5" s="1"/>
  <c r="G158" i="5"/>
  <c r="E32" i="20"/>
  <c r="I156" i="5"/>
  <c r="E158" i="5"/>
  <c r="M41" i="19" l="1"/>
  <c r="E187" i="5"/>
  <c r="M97" i="19"/>
  <c r="G187" i="5"/>
  <c r="I158" i="5"/>
  <c r="I264" i="5"/>
  <c r="I185" i="5"/>
  <c r="G265" i="5"/>
  <c r="E265" i="5"/>
  <c r="E240" i="5"/>
  <c r="I240" i="5" s="1"/>
  <c r="E214" i="5"/>
  <c r="I214" i="5" s="1"/>
  <c r="G215" i="5"/>
  <c r="G159" i="5"/>
  <c r="E159" i="5"/>
  <c r="M98" i="19" l="1"/>
  <c r="G188" i="5"/>
  <c r="M42" i="19"/>
  <c r="E188" i="5"/>
  <c r="I265" i="5"/>
  <c r="I186" i="5"/>
  <c r="I159" i="5"/>
  <c r="G241" i="5"/>
  <c r="E266" i="5"/>
  <c r="G266" i="5"/>
  <c r="E241" i="5"/>
  <c r="G216" i="5"/>
  <c r="E215" i="5"/>
  <c r="I215" i="5" s="1"/>
  <c r="G160" i="5"/>
  <c r="E160" i="5"/>
  <c r="M43" i="19" l="1"/>
  <c r="E189" i="5"/>
  <c r="M99" i="19"/>
  <c r="G189" i="5"/>
  <c r="I241" i="5"/>
  <c r="I266" i="5"/>
  <c r="I187" i="5"/>
  <c r="I160" i="5"/>
  <c r="G267" i="5"/>
  <c r="E267" i="5"/>
  <c r="G242" i="5"/>
  <c r="E242" i="5"/>
  <c r="E216" i="5"/>
  <c r="I216" i="5" s="1"/>
  <c r="G217" i="5"/>
  <c r="E161" i="5"/>
  <c r="G161" i="5"/>
  <c r="M100" i="19" l="1"/>
  <c r="G190" i="5"/>
  <c r="M44" i="19"/>
  <c r="E190" i="5"/>
  <c r="I267" i="5"/>
  <c r="I242" i="5"/>
  <c r="I188" i="5"/>
  <c r="I161" i="5"/>
  <c r="G243" i="5"/>
  <c r="E268" i="5"/>
  <c r="G268" i="5"/>
  <c r="E243" i="5"/>
  <c r="G218" i="5"/>
  <c r="E217" i="5"/>
  <c r="I217" i="5" s="1"/>
  <c r="G162" i="5"/>
  <c r="E162" i="5"/>
  <c r="M45" i="19" l="1"/>
  <c r="E191" i="5"/>
  <c r="M101" i="19"/>
  <c r="G191" i="5"/>
  <c r="I162" i="5"/>
  <c r="I243" i="5"/>
  <c r="I268" i="5"/>
  <c r="I189" i="5"/>
  <c r="G269" i="5"/>
  <c r="E269" i="5"/>
  <c r="G244" i="5"/>
  <c r="E244" i="5"/>
  <c r="E218" i="5"/>
  <c r="I218" i="5" s="1"/>
  <c r="G219" i="5"/>
  <c r="E163" i="5"/>
  <c r="G163" i="5"/>
  <c r="M102" i="19" l="1"/>
  <c r="G192" i="5"/>
  <c r="M46" i="19"/>
  <c r="E192" i="5"/>
  <c r="I269" i="5"/>
  <c r="I244" i="5"/>
  <c r="I190" i="5"/>
  <c r="I163" i="5"/>
  <c r="G245" i="5"/>
  <c r="E270" i="5"/>
  <c r="G270" i="5"/>
  <c r="E245" i="5"/>
  <c r="G220" i="5"/>
  <c r="E219" i="5"/>
  <c r="I219" i="5" s="1"/>
  <c r="G164" i="5"/>
  <c r="E164" i="5"/>
  <c r="M47" i="19" l="1"/>
  <c r="E193" i="5"/>
  <c r="M103" i="19"/>
  <c r="G193" i="5"/>
  <c r="I245" i="5"/>
  <c r="I164" i="5"/>
  <c r="I270" i="5"/>
  <c r="I191" i="5"/>
  <c r="G271" i="5"/>
  <c r="E271" i="5"/>
  <c r="G246" i="5"/>
  <c r="E246" i="5"/>
  <c r="E220" i="5"/>
  <c r="I220" i="5" s="1"/>
  <c r="G221" i="5"/>
  <c r="E165" i="5"/>
  <c r="G165" i="5"/>
  <c r="M104" i="19" l="1"/>
  <c r="G194" i="5"/>
  <c r="M48" i="19"/>
  <c r="E194" i="5"/>
  <c r="I192" i="5"/>
  <c r="I271" i="5"/>
  <c r="I246" i="5"/>
  <c r="I165" i="5"/>
  <c r="G247" i="5"/>
  <c r="E272" i="5"/>
  <c r="G272" i="5"/>
  <c r="E247" i="5"/>
  <c r="G222" i="5"/>
  <c r="E221" i="5"/>
  <c r="I221" i="5" s="1"/>
  <c r="G166" i="5"/>
  <c r="E166" i="5"/>
  <c r="M49" i="19" l="1"/>
  <c r="E195" i="5"/>
  <c r="M105" i="19"/>
  <c r="G195" i="5"/>
  <c r="I166" i="5"/>
  <c r="I193" i="5"/>
  <c r="I247" i="5"/>
  <c r="I272" i="5"/>
  <c r="G273" i="5"/>
  <c r="E273" i="5"/>
  <c r="G248" i="5"/>
  <c r="E248" i="5"/>
  <c r="E222" i="5"/>
  <c r="I222" i="5" s="1"/>
  <c r="G223" i="5"/>
  <c r="E167" i="5"/>
  <c r="G167" i="5"/>
  <c r="G196" i="5" l="1"/>
  <c r="M106" i="19"/>
  <c r="E196" i="5"/>
  <c r="M50" i="19"/>
  <c r="I248" i="5"/>
  <c r="I273" i="5"/>
  <c r="I194" i="5"/>
  <c r="I167" i="5"/>
  <c r="G249" i="5"/>
  <c r="E274" i="5"/>
  <c r="G274" i="5"/>
  <c r="E249" i="5"/>
  <c r="E223" i="5"/>
  <c r="I223" i="5" s="1"/>
  <c r="G168" i="5"/>
  <c r="E168" i="5"/>
  <c r="E197" i="5" l="1"/>
  <c r="M51" i="19"/>
  <c r="G197" i="5"/>
  <c r="M107" i="19"/>
  <c r="I249" i="5"/>
  <c r="I195" i="5"/>
  <c r="I274" i="5"/>
  <c r="I168" i="5"/>
  <c r="G224" i="5"/>
  <c r="G275" i="5"/>
  <c r="E275" i="5"/>
  <c r="G250" i="5"/>
  <c r="E250" i="5"/>
  <c r="E224" i="5"/>
  <c r="E169" i="5"/>
  <c r="G169" i="5"/>
  <c r="M108" i="19" l="1"/>
  <c r="G198" i="5"/>
  <c r="M52" i="19"/>
  <c r="E198" i="5"/>
  <c r="I224" i="5"/>
  <c r="I196" i="5"/>
  <c r="I275" i="5"/>
  <c r="I250" i="5"/>
  <c r="I169" i="5"/>
  <c r="G251" i="5"/>
  <c r="E276" i="5"/>
  <c r="G276" i="5"/>
  <c r="G225" i="5"/>
  <c r="E251" i="5"/>
  <c r="E225" i="5"/>
  <c r="G170" i="5"/>
  <c r="E170" i="5"/>
  <c r="M53" i="19" l="1"/>
  <c r="E199" i="5"/>
  <c r="G199" i="5"/>
  <c r="M109" i="19"/>
  <c r="I251" i="5"/>
  <c r="I170" i="5"/>
  <c r="I276" i="5"/>
  <c r="I197" i="5"/>
  <c r="I225" i="5"/>
  <c r="G226" i="5"/>
  <c r="G277" i="5"/>
  <c r="E277" i="5"/>
  <c r="G252" i="5"/>
  <c r="E252" i="5"/>
  <c r="E226" i="5"/>
  <c r="E171" i="5"/>
  <c r="G171" i="5"/>
  <c r="M110" i="19" l="1"/>
  <c r="G200" i="5"/>
  <c r="E200" i="5"/>
  <c r="M54" i="19"/>
  <c r="I226" i="5"/>
  <c r="I198" i="5"/>
  <c r="I277" i="5"/>
  <c r="I252" i="5"/>
  <c r="I171" i="5"/>
  <c r="G253" i="5"/>
  <c r="E278" i="5"/>
  <c r="G278" i="5"/>
  <c r="G227" i="5"/>
  <c r="E253" i="5"/>
  <c r="E227" i="5"/>
  <c r="G172" i="5"/>
  <c r="E172" i="5"/>
  <c r="M55" i="19" l="1"/>
  <c r="E201" i="5"/>
  <c r="G201" i="5"/>
  <c r="M111" i="19"/>
  <c r="I253" i="5"/>
  <c r="G254" i="5"/>
  <c r="G228" i="5"/>
  <c r="I172" i="5"/>
  <c r="I278" i="5"/>
  <c r="I199" i="5"/>
  <c r="I227" i="5"/>
  <c r="G279" i="5"/>
  <c r="E279" i="5"/>
  <c r="E173" i="5"/>
  <c r="G173" i="5"/>
  <c r="G202" i="5" l="1"/>
  <c r="M112" i="19"/>
  <c r="M56" i="19"/>
  <c r="E202" i="5"/>
  <c r="I279" i="5"/>
  <c r="E229" i="5"/>
  <c r="E255" i="5"/>
  <c r="G255" i="5"/>
  <c r="G229" i="5"/>
  <c r="E280" i="5"/>
  <c r="G280" i="5"/>
  <c r="I200" i="5"/>
  <c r="I173" i="5"/>
  <c r="E228" i="5"/>
  <c r="I228" i="5" s="1"/>
  <c r="E254" i="5"/>
  <c r="I254" i="5" s="1"/>
  <c r="E174" i="5"/>
  <c r="G174" i="5"/>
  <c r="E203" i="5" l="1"/>
  <c r="M57" i="19"/>
  <c r="M113" i="19"/>
  <c r="G203" i="5"/>
  <c r="G257" i="5"/>
  <c r="G256" i="5"/>
  <c r="G281" i="5"/>
  <c r="I255" i="5"/>
  <c r="E281" i="5"/>
  <c r="E231" i="5"/>
  <c r="E230" i="5"/>
  <c r="G230" i="5"/>
  <c r="G231" i="5"/>
  <c r="E257" i="5"/>
  <c r="E256" i="5"/>
  <c r="I229" i="5"/>
  <c r="I280" i="5"/>
  <c r="I201" i="5"/>
  <c r="I174" i="5"/>
  <c r="E175" i="5"/>
  <c r="G175" i="5"/>
  <c r="M114" i="19" l="1"/>
  <c r="G205" i="5" s="1"/>
  <c r="G204" i="5"/>
  <c r="E204" i="5"/>
  <c r="M58" i="19"/>
  <c r="E205" i="5" s="1"/>
  <c r="I257" i="5"/>
  <c r="I256" i="5"/>
  <c r="I231" i="5"/>
  <c r="I281" i="5"/>
  <c r="I230" i="5"/>
  <c r="E177" i="5"/>
  <c r="E282" i="5"/>
  <c r="E283" i="5"/>
  <c r="G177" i="5"/>
  <c r="G283" i="5"/>
  <c r="G282" i="5"/>
  <c r="I175" i="5"/>
  <c r="E176" i="5"/>
  <c r="G176" i="5"/>
  <c r="I177" i="5" l="1"/>
  <c r="I283" i="5"/>
  <c r="I202" i="5"/>
  <c r="G179" i="5"/>
  <c r="G178" i="5"/>
  <c r="I203" i="5"/>
  <c r="I282" i="5"/>
  <c r="E179" i="5"/>
  <c r="E178" i="5"/>
  <c r="I176" i="5"/>
  <c r="I179" i="5" l="1"/>
  <c r="I204" i="5"/>
  <c r="I205" i="5"/>
  <c r="I178" i="5"/>
</calcChain>
</file>

<file path=xl/sharedStrings.xml><?xml version="1.0" encoding="utf-8"?>
<sst xmlns="http://schemas.openxmlformats.org/spreadsheetml/2006/main" count="4547" uniqueCount="1280">
  <si>
    <t>District</t>
  </si>
  <si>
    <t>County</t>
  </si>
  <si>
    <t>Route</t>
  </si>
  <si>
    <t>Section</t>
  </si>
  <si>
    <t>Base Year</t>
  </si>
  <si>
    <t>Design Year</t>
  </si>
  <si>
    <t>Classification</t>
  </si>
  <si>
    <t>Terrain</t>
  </si>
  <si>
    <t>Base Free-Flow Speed</t>
  </si>
  <si>
    <t>Number of Lanes</t>
  </si>
  <si>
    <t>Lane Width</t>
  </si>
  <si>
    <t>Right-Side Lateral Clearance</t>
  </si>
  <si>
    <t>Total Ramp Density</t>
  </si>
  <si>
    <t>Average Daily Traffic</t>
  </si>
  <si>
    <t>Directional Split</t>
  </si>
  <si>
    <t>Percent Trucks</t>
  </si>
  <si>
    <t>Percent Combination</t>
  </si>
  <si>
    <t>Percent Single-Unit</t>
  </si>
  <si>
    <t>Percent Recreational Vehicles</t>
  </si>
  <si>
    <t>Both Directions</t>
  </si>
  <si>
    <t>Direction 1</t>
  </si>
  <si>
    <t>Direction 2</t>
  </si>
  <si>
    <t>Default</t>
  </si>
  <si>
    <t>Length</t>
  </si>
  <si>
    <t>Starting Time of Work Zone</t>
  </si>
  <si>
    <t>Ending Time of Work Zone</t>
  </si>
  <si>
    <t>Work Zone Capacity</t>
  </si>
  <si>
    <t>Passenger Cars</t>
  </si>
  <si>
    <t>Recreational Vehicles</t>
  </si>
  <si>
    <t>Single-Unit Trucks</t>
  </si>
  <si>
    <t>Combination Trucks</t>
  </si>
  <si>
    <t>Lending Rate</t>
  </si>
  <si>
    <t>Hourly Discount</t>
  </si>
  <si>
    <t>Work Zone Road User Costs; Concepts and Applications</t>
  </si>
  <si>
    <t>December 2011</t>
  </si>
  <si>
    <t>Federal Highway Administration</t>
  </si>
  <si>
    <t>FHWA-HOP-12-005</t>
  </si>
  <si>
    <t>Washington, D.C.</t>
  </si>
  <si>
    <t>HCM2010: Highway Capacity Manual</t>
  </si>
  <si>
    <t>December 2010</t>
  </si>
  <si>
    <t>Transportation Research Board of the National Academies</t>
  </si>
  <si>
    <t>Bureau of Planning and Research, Transportation Planning Information Division</t>
  </si>
  <si>
    <t>Harrisburg, PA</t>
  </si>
  <si>
    <t>A Policy on Geometric Design on Highways and Streets, 6th Edition</t>
  </si>
  <si>
    <t>American Association of State Highway and Transportation Officials</t>
  </si>
  <si>
    <t>GDHS-6</t>
  </si>
  <si>
    <t>American Transportation Research Institute</t>
  </si>
  <si>
    <t>Heathrow, FL</t>
  </si>
  <si>
    <t>User and Non-User Benefit Analysis for Highways</t>
  </si>
  <si>
    <t>September 2010</t>
  </si>
  <si>
    <t>UBA-3</t>
  </si>
  <si>
    <t>United States Bureau of Labor Statistics</t>
  </si>
  <si>
    <t>Employer Costs of Employee Compensation</t>
  </si>
  <si>
    <t>http://www.bls.gov/news.release/ecec.t10.htm</t>
  </si>
  <si>
    <t>State Occupational Employment and Wage Estimates</t>
  </si>
  <si>
    <t>United States Census Bureau</t>
  </si>
  <si>
    <t>State &amp; County Quickfacts - Pennsylvania</t>
  </si>
  <si>
    <t>American Automobile Association</t>
  </si>
  <si>
    <t>http://ops.fhwa.dot.gov/wz/resources/publications/fhwahop12005/fhwahop12005.pdf</t>
  </si>
  <si>
    <t>List 6</t>
  </si>
  <si>
    <t>Engineering Districts</t>
  </si>
  <si>
    <t>Pennsylvania Counties</t>
  </si>
  <si>
    <t>Code</t>
  </si>
  <si>
    <t>(choose a district)</t>
  </si>
  <si>
    <t>(choose a county)</t>
  </si>
  <si>
    <t>(choose a classification)</t>
  </si>
  <si>
    <t>Adams</t>
  </si>
  <si>
    <t>Urban Interstate</t>
  </si>
  <si>
    <t>Allegheny</t>
  </si>
  <si>
    <t>Rural Interstate</t>
  </si>
  <si>
    <t>Armstrong</t>
  </si>
  <si>
    <t>Urban Principal Arterial</t>
  </si>
  <si>
    <t>Beaver</t>
  </si>
  <si>
    <t>Rural Principal Arterial</t>
  </si>
  <si>
    <t>Bedford</t>
  </si>
  <si>
    <t>Urban Minor Arterial or Collector</t>
  </si>
  <si>
    <t>Berks</t>
  </si>
  <si>
    <t>North Rural Minor Arterial</t>
  </si>
  <si>
    <t>Blair</t>
  </si>
  <si>
    <t>Central Rural Minor Arterial</t>
  </si>
  <si>
    <t>Bradford</t>
  </si>
  <si>
    <t>North Rural Collector</t>
  </si>
  <si>
    <t>Bucks</t>
  </si>
  <si>
    <t>Central Rural Collector</t>
  </si>
  <si>
    <t>List 7</t>
  </si>
  <si>
    <t>Butler</t>
  </si>
  <si>
    <t>Special Recreational</t>
  </si>
  <si>
    <t>Units of Length</t>
  </si>
  <si>
    <t>Cambria</t>
  </si>
  <si>
    <t>mi</t>
  </si>
  <si>
    <t>Cameron</t>
  </si>
  <si>
    <t>ft</t>
  </si>
  <si>
    <t>Carbon</t>
  </si>
  <si>
    <t>Centre</t>
  </si>
  <si>
    <t>List 8</t>
  </si>
  <si>
    <t>Chester</t>
  </si>
  <si>
    <t>Hours of the Day</t>
  </si>
  <si>
    <t>Clarion</t>
  </si>
  <si>
    <t>Clearfield</t>
  </si>
  <si>
    <t>List 4</t>
  </si>
  <si>
    <t>All Day</t>
  </si>
  <si>
    <t>Clinton</t>
  </si>
  <si>
    <t>Lane Widths</t>
  </si>
  <si>
    <t>Columbia</t>
  </si>
  <si>
    <t>Crawford</t>
  </si>
  <si>
    <t>Cumberland</t>
  </si>
  <si>
    <t>Dauphin</t>
  </si>
  <si>
    <t>Delaware</t>
  </si>
  <si>
    <t>Elk</t>
  </si>
  <si>
    <t>Erie</t>
  </si>
  <si>
    <t>Fayette</t>
  </si>
  <si>
    <t>Forest</t>
  </si>
  <si>
    <t>Franklin</t>
  </si>
  <si>
    <t>Fulton</t>
  </si>
  <si>
    <t>Greene</t>
  </si>
  <si>
    <t>List 5</t>
  </si>
  <si>
    <t>Huntingdon</t>
  </si>
  <si>
    <t>Type of Terrain</t>
  </si>
  <si>
    <t>Indiana</t>
  </si>
  <si>
    <t>Level</t>
  </si>
  <si>
    <t>Jefferson</t>
  </si>
  <si>
    <t>Rolling</t>
  </si>
  <si>
    <t>Juniata</t>
  </si>
  <si>
    <t>Mountainous</t>
  </si>
  <si>
    <t>Lackawanna</t>
  </si>
  <si>
    <t>Lancaster</t>
  </si>
  <si>
    <t>Lawrence</t>
  </si>
  <si>
    <t>Lebanon</t>
  </si>
  <si>
    <t>Lehigh</t>
  </si>
  <si>
    <t>Luzerne</t>
  </si>
  <si>
    <t>Lycoming</t>
  </si>
  <si>
    <t>McKean</t>
  </si>
  <si>
    <t>Mercer</t>
  </si>
  <si>
    <t>List 9</t>
  </si>
  <si>
    <t>Mifflin</t>
  </si>
  <si>
    <t>Monroe</t>
  </si>
  <si>
    <t>No Detour</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</si>
  <si>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</si>
  <si>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</si>
  <si>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</si>
  <si>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</si>
  <si>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</si>
  <si>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</si>
  <si>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</si>
  <si>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</si>
  <si>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</si>
  <si>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</si>
  <si>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</si>
  <si>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</si>
  <si>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</si>
  <si>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</si>
  <si>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</si>
  <si>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</si>
  <si>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</si>
  <si>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</si>
  <si>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</si>
  <si>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</si>
  <si>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</si>
  <si>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</si>
  <si>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Detour Options</t>
  </si>
  <si>
    <t>Delay Per Vehicle</t>
  </si>
  <si>
    <t>Freeway</t>
  </si>
  <si>
    <t>Multilane Highway</t>
  </si>
  <si>
    <t>Two-Lane Highway</t>
  </si>
  <si>
    <t>PennDOT Classification</t>
  </si>
  <si>
    <t>HCM Type</t>
  </si>
  <si>
    <t>Roadway Type</t>
  </si>
  <si>
    <t>FFS</t>
  </si>
  <si>
    <t>Base Capacity</t>
  </si>
  <si>
    <t>HCM</t>
  </si>
  <si>
    <t>mph</t>
  </si>
  <si>
    <t>pcphpl</t>
  </si>
  <si>
    <t>Page #</t>
  </si>
  <si>
    <t>10-6</t>
  </si>
  <si>
    <t>14-4</t>
  </si>
  <si>
    <t>15-5</t>
  </si>
  <si>
    <t>SU</t>
  </si>
  <si>
    <t>CU</t>
  </si>
  <si>
    <t>Hour</t>
  </si>
  <si>
    <t>PennDOT Traffic Pattern Group (TPG)</t>
  </si>
  <si>
    <t>Base Capacity (pcphpl)</t>
  </si>
  <si>
    <t>2 to 1</t>
  </si>
  <si>
    <t>3 to 1</t>
  </si>
  <si>
    <t>3 to 2</t>
  </si>
  <si>
    <t>4 to 1</t>
  </si>
  <si>
    <t>4 to 2</t>
  </si>
  <si>
    <t>4 to 3</t>
  </si>
  <si>
    <r>
      <t>Trucks &amp; Buses, E</t>
    </r>
    <r>
      <rPr>
        <vertAlign val="subscript"/>
        <sz val="11"/>
        <color theme="1"/>
        <rFont val="Calibri"/>
        <family val="2"/>
        <scheme val="minor"/>
      </rPr>
      <t>T</t>
    </r>
  </si>
  <si>
    <r>
      <t>Recreational Vehicles, E</t>
    </r>
    <r>
      <rPr>
        <vertAlign val="subscript"/>
        <sz val="11"/>
        <color theme="1"/>
        <rFont val="Calibri"/>
        <family val="2"/>
        <scheme val="minor"/>
      </rPr>
      <t>R</t>
    </r>
  </si>
  <si>
    <t>Lane
Reduction</t>
  </si>
  <si>
    <t>Roadway
Type</t>
  </si>
  <si>
    <t>Lane Width (ft)</t>
  </si>
  <si>
    <t>Factor</t>
  </si>
  <si>
    <t>to</t>
  </si>
  <si>
    <t>greater</t>
  </si>
  <si>
    <t>Lanes (One Direction)</t>
  </si>
  <si>
    <t>or greater</t>
  </si>
  <si>
    <t>Vehicle Type</t>
  </si>
  <si>
    <t>Length (ft)</t>
  </si>
  <si>
    <t>Passenger Car</t>
  </si>
  <si>
    <t>Recreational Vehicle</t>
  </si>
  <si>
    <t>Single-Unit Truck</t>
  </si>
  <si>
    <t>Combination Truck</t>
  </si>
  <si>
    <t>PC</t>
  </si>
  <si>
    <t>Personal</t>
  </si>
  <si>
    <t>Local</t>
  </si>
  <si>
    <t>MAHI</t>
  </si>
  <si>
    <t>Business</t>
  </si>
  <si>
    <t>Intercity</t>
  </si>
  <si>
    <t>Month</t>
  </si>
  <si>
    <t>January</t>
  </si>
  <si>
    <t>February</t>
  </si>
  <si>
    <t>March</t>
  </si>
  <si>
    <t>April</t>
  </si>
  <si>
    <t>May</t>
  </si>
  <si>
    <t>June</t>
  </si>
  <si>
    <t>July</t>
  </si>
  <si>
    <t>August</t>
  </si>
  <si>
    <t>September</t>
  </si>
  <si>
    <t>October</t>
  </si>
  <si>
    <t>November</t>
  </si>
  <si>
    <t>December</t>
  </si>
  <si>
    <t>No.</t>
  </si>
  <si>
    <t>Data from HCM 2010 (page numbers in table). For scenarios not considered in the HCM2010, data was assumed.</t>
  </si>
  <si>
    <t>Assumed</t>
  </si>
  <si>
    <t xml:space="preserve">From HCM2010, page 10-26 </t>
  </si>
  <si>
    <t>From HCM2010, page 10-28</t>
  </si>
  <si>
    <t>From HCM2010, page 11-15</t>
  </si>
  <si>
    <t>"AASHTO Greenbook"</t>
  </si>
  <si>
    <t>From AASHTO Greenbook 2011, Chapter 2</t>
  </si>
  <si>
    <t>Procedures for Estimating Highway User Costs, Air Pollution, and Noise Effects</t>
  </si>
  <si>
    <t>National Cooperative Highway Research Program (NCHRP)</t>
  </si>
  <si>
    <t>Report 133</t>
  </si>
  <si>
    <t>From NCHRP Report 133</t>
  </si>
  <si>
    <t>From FHWA-HOP-12-005 Table 1</t>
  </si>
  <si>
    <t>sec/veh/stop</t>
  </si>
  <si>
    <t>Truck Type</t>
  </si>
  <si>
    <t>Wages</t>
  </si>
  <si>
    <t>Benefits</t>
  </si>
  <si>
    <t>Total</t>
  </si>
  <si>
    <t>Single-Unit</t>
  </si>
  <si>
    <t>Combination</t>
  </si>
  <si>
    <t>"ATRI"</t>
  </si>
  <si>
    <t>"PUB 601"</t>
  </si>
  <si>
    <t>"HCM2010"</t>
  </si>
  <si>
    <t>"NCHRP Report 133"</t>
  </si>
  <si>
    <t>"Census Quickfacts"</t>
  </si>
  <si>
    <t>From Census Quickfacts</t>
  </si>
  <si>
    <t>"BLS Wage Estimates"</t>
  </si>
  <si>
    <t>"AASHTO Redbook"</t>
  </si>
  <si>
    <t>"FWHA-HOP-12-005"</t>
  </si>
  <si>
    <t>"AAA"</t>
  </si>
  <si>
    <t>"BLS ECEC"</t>
  </si>
  <si>
    <t>Personal Travel</t>
  </si>
  <si>
    <t>Business Travel</t>
  </si>
  <si>
    <t>From FHWA-HOP-12-005
Table 2 and page 17</t>
  </si>
  <si>
    <t>From FHWA-HOP-12-005
Table 3 &amp; Table 4</t>
  </si>
  <si>
    <t>http://www.federalreserve.gov/releases/h15/update/</t>
  </si>
  <si>
    <t>Selected Interest Rates (Daily)</t>
  </si>
  <si>
    <t>"Federal Reserve"</t>
  </si>
  <si>
    <t>Board of Governors of the Federal Reserve System</t>
  </si>
  <si>
    <t>From Federal Reserve</t>
  </si>
  <si>
    <t>Single Unit</t>
  </si>
  <si>
    <t>2-axle</t>
  </si>
  <si>
    <t>3-axle</t>
  </si>
  <si>
    <t>4+axle</t>
  </si>
  <si>
    <t>Truck/Trailor</t>
  </si>
  <si>
    <t>4-axle</t>
  </si>
  <si>
    <t>5-axle</t>
  </si>
  <si>
    <t>6+axle</t>
  </si>
  <si>
    <t>-</t>
  </si>
  <si>
    <t>6-axle</t>
  </si>
  <si>
    <t>7+axle</t>
  </si>
  <si>
    <t>Development of Truck Payload Equivalent Factor (TPEF)</t>
  </si>
  <si>
    <t>15 June 2007</t>
  </si>
  <si>
    <t>Office of Freight Management and Operations</t>
  </si>
  <si>
    <t>Small autos</t>
  </si>
  <si>
    <t>$/hr</t>
  </si>
  <si>
    <t>Medium to Large autos</t>
  </si>
  <si>
    <t>4-Tire SU</t>
  </si>
  <si>
    <t>6-Tire SU</t>
  </si>
  <si>
    <t>3+ axle combinations</t>
  </si>
  <si>
    <t>3 or 4 axles</t>
  </si>
  <si>
    <t>5 axles</t>
  </si>
  <si>
    <t>Speed</t>
  </si>
  <si>
    <t>Autos</t>
  </si>
  <si>
    <t>Trucks</t>
  </si>
  <si>
    <t>gal/mi</t>
  </si>
  <si>
    <t>from AASHTO Redbook 2010</t>
  </si>
  <si>
    <t>fuel</t>
  </si>
  <si>
    <t>repairs</t>
  </si>
  <si>
    <t>tires</t>
  </si>
  <si>
    <t>depreciation</t>
  </si>
  <si>
    <t>$/mi</t>
  </si>
  <si>
    <t>$/15000mi</t>
  </si>
  <si>
    <t>Small Sedan</t>
  </si>
  <si>
    <t>Medium Sedan</t>
  </si>
  <si>
    <t>Large Sedan</t>
  </si>
  <si>
    <t>4WD SUV</t>
  </si>
  <si>
    <t>Minivan</t>
  </si>
  <si>
    <t>AVERAGE</t>
  </si>
  <si>
    <t>TOTAL</t>
  </si>
  <si>
    <t>Loaded</t>
  </si>
  <si>
    <t>Combination with semi-trailer</t>
  </si>
  <si>
    <t>Combination with trailer</t>
  </si>
  <si>
    <t>Combination with double-trailer</t>
  </si>
  <si>
    <t>Combination with triple-trailer</t>
  </si>
  <si>
    <t>repair</t>
  </si>
  <si>
    <t>ATRI 2010 &amp; HERS-ST</t>
  </si>
  <si>
    <t>Gasoline</t>
  </si>
  <si>
    <t>Diesel</t>
  </si>
  <si>
    <t>TABLES</t>
  </si>
  <si>
    <t>REFERENCES</t>
  </si>
  <si>
    <t>From HERS-ST via FHWA-HOP-12-005</t>
  </si>
  <si>
    <t>"HERS-ST"</t>
  </si>
  <si>
    <t>Highway Economic Requirements System - State Version, Technical Report</t>
  </si>
  <si>
    <t>"TPEF Report"</t>
  </si>
  <si>
    <t>From TPEF Report Table 3 via FHWA-HOP-12-005</t>
  </si>
  <si>
    <t>"FAF2 Report"</t>
  </si>
  <si>
    <t>FAF2 Freight Traffic Analysis</t>
  </si>
  <si>
    <t>From FAF2 Report Table 4 via FHWA-HOP-12-005</t>
  </si>
  <si>
    <t>http://ops.fhwa.dot.gov/freight_analysis/faf/faf2_reports/reports7/index.htm</t>
  </si>
  <si>
    <t>Dollars per pound ($/lb)</t>
  </si>
  <si>
    <t>From HERT-ST via FHWA-HOP-12-005</t>
  </si>
  <si>
    <t>From PennDOT</t>
  </si>
  <si>
    <t>Delay Cost</t>
  </si>
  <si>
    <t>List 1</t>
  </si>
  <si>
    <t>List 2</t>
  </si>
  <si>
    <t>List 3</t>
  </si>
  <si>
    <t>LISTS</t>
  </si>
  <si>
    <t>Table 2 - Base Roadway Capacities</t>
  </si>
  <si>
    <t>Table 3 - Ratio of Truck Type by Classification</t>
  </si>
  <si>
    <t>PROJECT INFORMATION</t>
  </si>
  <si>
    <t>ROADWAY INFORMATION</t>
  </si>
  <si>
    <t>TRAFFIC INFORMATION</t>
  </si>
  <si>
    <t>WORK ZONE INFORMATION</t>
  </si>
  <si>
    <t>DETOUR INFORMATION</t>
  </si>
  <si>
    <t>ADDITIONAL DELAY</t>
  </si>
  <si>
    <t>!</t>
  </si>
  <si>
    <t>Segment</t>
  </si>
  <si>
    <t>Primary Detour</t>
  </si>
  <si>
    <t>mi or ft</t>
  </si>
  <si>
    <t>sec</t>
  </si>
  <si>
    <t>or</t>
  </si>
  <si>
    <t>Secondary Detour</t>
  </si>
  <si>
    <t>Tertiary Detour</t>
  </si>
  <si>
    <t>White Boxes</t>
  </si>
  <si>
    <t>Blue Boxes</t>
  </si>
  <si>
    <t>Red Boxes</t>
  </si>
  <si>
    <t>Gray Boxes</t>
  </si>
  <si>
    <t>ENTRY BOX LEGEND</t>
  </si>
  <si>
    <t>!     Red Bold Lettering</t>
  </si>
  <si>
    <t>Value that will be used in calculations</t>
  </si>
  <si>
    <t>Yellow Boxes</t>
  </si>
  <si>
    <t>Green Boxes</t>
  </si>
  <si>
    <t>Orange Boxes</t>
  </si>
  <si>
    <t>%</t>
  </si>
  <si>
    <t>lanes</t>
  </si>
  <si>
    <t>ramps / mile</t>
  </si>
  <si>
    <t>vphpl</t>
  </si>
  <si>
    <t>veh/day</t>
  </si>
  <si>
    <t>User-Entered Values</t>
  </si>
  <si>
    <t>Dark Red with Yellow</t>
  </si>
  <si>
    <t>Warning / Error message</t>
  </si>
  <si>
    <t>Values used in calculations</t>
  </si>
  <si>
    <t>Defaults</t>
  </si>
  <si>
    <t>Average Flagging Cycle Length</t>
  </si>
  <si>
    <t>Average
Speed</t>
  </si>
  <si>
    <t>Segment
Delay</t>
  </si>
  <si>
    <t>This tab is for entering project data to calculate RULDs.
Some simple overrides can be entered in this sheet. Overrides of internal default values or tables must be entered on the 'Overrides' tab</t>
  </si>
  <si>
    <t>VALUES</t>
  </si>
  <si>
    <t>CALCULATIONS</t>
  </si>
  <si>
    <t>QUEUING</t>
  </si>
  <si>
    <t>COSTS</t>
  </si>
  <si>
    <t>SUMMARY</t>
  </si>
  <si>
    <t>This tab presents a summary of the inputs and calculations for review and printing</t>
  </si>
  <si>
    <t>OVERRIDES</t>
  </si>
  <si>
    <t>(calculated)</t>
  </si>
  <si>
    <t>(same as existing)</t>
  </si>
  <si>
    <t>Free-Flow Speed</t>
  </si>
  <si>
    <t>TAB DESCRIPTIONS</t>
  </si>
  <si>
    <t>Instructions</t>
  </si>
  <si>
    <t>Input</t>
  </si>
  <si>
    <t>Overrides</t>
  </si>
  <si>
    <t>Summary</t>
  </si>
  <si>
    <t>Lists</t>
  </si>
  <si>
    <t>Tables</t>
  </si>
  <si>
    <t>References</t>
  </si>
  <si>
    <t>Values</t>
  </si>
  <si>
    <t>Calculations</t>
  </si>
  <si>
    <t>Queuing</t>
  </si>
  <si>
    <t>Costs</t>
  </si>
  <si>
    <t>Updater</t>
  </si>
  <si>
    <t>INSTRUCTIONS</t>
  </si>
  <si>
    <t>Existing Free-Flow Speed</t>
  </si>
  <si>
    <t>Percent Single Unit</t>
  </si>
  <si>
    <t>Percent Passenger Cars</t>
  </si>
  <si>
    <t>Work Zone Number of Lanes</t>
  </si>
  <si>
    <t>Work Zone Lane Width</t>
  </si>
  <si>
    <t>Work Zone Free-Flow Speed</t>
  </si>
  <si>
    <t>Additional Delay Per Vehicle</t>
  </si>
  <si>
    <t>Additional Delay Per Passenger Car</t>
  </si>
  <si>
    <t>Additional Delay Per Single-Unit</t>
  </si>
  <si>
    <t>Additional Delay Per Combination Truck</t>
  </si>
  <si>
    <t>Additional Delay Per Recreational Vehicle</t>
  </si>
  <si>
    <t>Classification Code Number</t>
  </si>
  <si>
    <t>Value</t>
  </si>
  <si>
    <t>Variable</t>
  </si>
  <si>
    <t>Unit</t>
  </si>
  <si>
    <t>Work Zone Length</t>
  </si>
  <si>
    <t>Normalize to miles</t>
  </si>
  <si>
    <r>
      <t>FFS</t>
    </r>
    <r>
      <rPr>
        <vertAlign val="subscript"/>
        <sz val="11"/>
        <color theme="1"/>
        <rFont val="Calibri"/>
        <family val="2"/>
        <scheme val="minor"/>
      </rPr>
      <t>EX</t>
    </r>
  </si>
  <si>
    <r>
      <t>RSLC</t>
    </r>
    <r>
      <rPr>
        <vertAlign val="subscript"/>
        <sz val="11"/>
        <color theme="1"/>
        <rFont val="Calibri"/>
        <family val="2"/>
        <scheme val="minor"/>
      </rPr>
      <t>EX</t>
    </r>
  </si>
  <si>
    <r>
      <t>Width</t>
    </r>
    <r>
      <rPr>
        <vertAlign val="subscript"/>
        <sz val="11"/>
        <color theme="1"/>
        <rFont val="Calibri"/>
        <family val="2"/>
        <scheme val="minor"/>
      </rPr>
      <t>EX</t>
    </r>
  </si>
  <si>
    <r>
      <t>Lanes</t>
    </r>
    <r>
      <rPr>
        <vertAlign val="subscript"/>
        <sz val="11"/>
        <color theme="1"/>
        <rFont val="Calibri"/>
        <family val="2"/>
        <scheme val="minor"/>
      </rPr>
      <t>EX</t>
    </r>
  </si>
  <si>
    <r>
      <t>BaseFFS</t>
    </r>
    <r>
      <rPr>
        <vertAlign val="subscript"/>
        <sz val="11"/>
        <color theme="1"/>
        <rFont val="Calibri"/>
        <family val="2"/>
        <scheme val="minor"/>
      </rPr>
      <t>EX</t>
    </r>
  </si>
  <si>
    <r>
      <t>ADT</t>
    </r>
    <r>
      <rPr>
        <vertAlign val="subscript"/>
        <sz val="11"/>
        <color theme="1"/>
        <rFont val="Calibri"/>
        <family val="2"/>
        <scheme val="minor"/>
      </rPr>
      <t>EX</t>
    </r>
  </si>
  <si>
    <r>
      <t>%ADT</t>
    </r>
    <r>
      <rPr>
        <vertAlign val="subscript"/>
        <sz val="11"/>
        <color theme="1"/>
        <rFont val="Calibri"/>
        <family val="2"/>
        <scheme val="minor"/>
      </rPr>
      <t>TRK</t>
    </r>
  </si>
  <si>
    <t>Relative Percent Single Unit</t>
  </si>
  <si>
    <t>R%CT</t>
  </si>
  <si>
    <t>R%SU</t>
  </si>
  <si>
    <t>Relative Percent Combination</t>
  </si>
  <si>
    <r>
      <t>Length</t>
    </r>
    <r>
      <rPr>
        <vertAlign val="subscript"/>
        <sz val="11"/>
        <color theme="1"/>
        <rFont val="Calibri"/>
        <family val="2"/>
        <scheme val="minor"/>
      </rPr>
      <t>WZ</t>
    </r>
  </si>
  <si>
    <r>
      <t>FFS</t>
    </r>
    <r>
      <rPr>
        <vertAlign val="subscript"/>
        <sz val="11"/>
        <color theme="1"/>
        <rFont val="Calibri"/>
        <family val="2"/>
        <scheme val="minor"/>
      </rPr>
      <t>WZ</t>
    </r>
  </si>
  <si>
    <r>
      <t>Lanes</t>
    </r>
    <r>
      <rPr>
        <vertAlign val="subscript"/>
        <sz val="11"/>
        <color theme="1"/>
        <rFont val="Calibri"/>
        <family val="2"/>
        <scheme val="minor"/>
      </rPr>
      <t>WZ</t>
    </r>
  </si>
  <si>
    <r>
      <t>Width</t>
    </r>
    <r>
      <rPr>
        <vertAlign val="subscript"/>
        <sz val="11"/>
        <color theme="1"/>
        <rFont val="Calibri"/>
        <family val="2"/>
        <scheme val="minor"/>
      </rPr>
      <t>WZ</t>
    </r>
  </si>
  <si>
    <r>
      <t>Time</t>
    </r>
    <r>
      <rPr>
        <vertAlign val="subscript"/>
        <sz val="11"/>
        <color theme="1"/>
        <rFont val="Calibri"/>
        <family val="2"/>
        <scheme val="minor"/>
      </rPr>
      <t>END</t>
    </r>
  </si>
  <si>
    <r>
      <t>Time</t>
    </r>
    <r>
      <rPr>
        <vertAlign val="subscript"/>
        <sz val="11"/>
        <color theme="1"/>
        <rFont val="Calibri"/>
        <family val="2"/>
        <scheme val="minor"/>
      </rPr>
      <t>START</t>
    </r>
  </si>
  <si>
    <t>Base Work Zone Capacity</t>
  </si>
  <si>
    <t>BWZC</t>
  </si>
  <si>
    <t>WZCap</t>
  </si>
  <si>
    <t>rmps/mi</t>
  </si>
  <si>
    <r>
      <t>AddDel</t>
    </r>
    <r>
      <rPr>
        <vertAlign val="subscript"/>
        <sz val="11"/>
        <color theme="1"/>
        <rFont val="Calibri"/>
        <family val="2"/>
        <scheme val="minor"/>
      </rPr>
      <t>PC</t>
    </r>
  </si>
  <si>
    <r>
      <t>AddDel</t>
    </r>
    <r>
      <rPr>
        <vertAlign val="subscript"/>
        <sz val="11"/>
        <color theme="1"/>
        <rFont val="Calibri"/>
        <family val="2"/>
        <scheme val="minor"/>
      </rPr>
      <t>SU</t>
    </r>
  </si>
  <si>
    <r>
      <t>AddDel</t>
    </r>
    <r>
      <rPr>
        <vertAlign val="subscript"/>
        <sz val="11"/>
        <color theme="1"/>
        <rFont val="Calibri"/>
        <family val="2"/>
        <scheme val="minor"/>
      </rPr>
      <t>CT</t>
    </r>
  </si>
  <si>
    <r>
      <t>AddDel</t>
    </r>
    <r>
      <rPr>
        <vertAlign val="subscript"/>
        <sz val="11"/>
        <color theme="1"/>
        <rFont val="Calibri"/>
        <family val="2"/>
        <scheme val="minor"/>
      </rPr>
      <t>RV</t>
    </r>
  </si>
  <si>
    <r>
      <t>AddDel</t>
    </r>
    <r>
      <rPr>
        <vertAlign val="subscript"/>
        <sz val="11"/>
        <color theme="1"/>
        <rFont val="Calibri"/>
        <family val="2"/>
        <scheme val="minor"/>
      </rPr>
      <t>ALL</t>
    </r>
  </si>
  <si>
    <t>TRD</t>
  </si>
  <si>
    <t>Lane Width Factor</t>
  </si>
  <si>
    <r>
      <t>f</t>
    </r>
    <r>
      <rPr>
        <vertAlign val="subscript"/>
        <sz val="11"/>
        <color theme="1"/>
        <rFont val="Calibri"/>
        <family val="2"/>
        <scheme val="minor"/>
      </rPr>
      <t>LW</t>
    </r>
  </si>
  <si>
    <r>
      <t>f</t>
    </r>
    <r>
      <rPr>
        <vertAlign val="subscript"/>
        <sz val="11"/>
        <color theme="1"/>
        <rFont val="Calibri"/>
        <family val="2"/>
        <scheme val="minor"/>
      </rPr>
      <t>LC</t>
    </r>
  </si>
  <si>
    <t>List 11</t>
  </si>
  <si>
    <t>Determination of Free-Flow Speed</t>
  </si>
  <si>
    <t>Speed Limit</t>
  </si>
  <si>
    <t>Design Speed</t>
  </si>
  <si>
    <t>List 10</t>
  </si>
  <si>
    <t>Type of Median</t>
  </si>
  <si>
    <t>Undivided</t>
  </si>
  <si>
    <t>Two-Way Left-Turn lane</t>
  </si>
  <si>
    <t>Divided</t>
  </si>
  <si>
    <t>From HCM2010, page 11-11, 14-11</t>
  </si>
  <si>
    <t>From HCM2010, page 11-12</t>
  </si>
  <si>
    <t>Four-Lane Highways</t>
  </si>
  <si>
    <t>TLC (ft)</t>
  </si>
  <si>
    <t>Six-Lane Highways</t>
  </si>
  <si>
    <t>Reduction in FFS (mph)</t>
  </si>
  <si>
    <t>From HCM2010, page 14-12</t>
  </si>
  <si>
    <t>Access-Point Density</t>
  </si>
  <si>
    <t>Access-Point Density (ap/mi)</t>
  </si>
  <si>
    <t>+</t>
  </si>
  <si>
    <t>Shoulder Width (ft)</t>
  </si>
  <si>
    <t>0 to 2</t>
  </si>
  <si>
    <t>2 to 4</t>
  </si>
  <si>
    <t>4 to 6</t>
  </si>
  <si>
    <t>6 +</t>
  </si>
  <si>
    <t>From HCM2010, page 15-15</t>
  </si>
  <si>
    <t>Left-Side Lateral Clearance</t>
  </si>
  <si>
    <t>Driver Population Factor</t>
  </si>
  <si>
    <t>% Trucks</t>
  </si>
  <si>
    <t>From HCM2010, page 11-21, page 14-20, page 15-9</t>
  </si>
  <si>
    <t>Default Values</t>
  </si>
  <si>
    <t>Override</t>
  </si>
  <si>
    <t>Median Type</t>
  </si>
  <si>
    <t>Two-Way Left-Turn Lane</t>
  </si>
  <si>
    <t>Table 4 - Freeway Right-Side
Lateral Clearance FFS Adjustments</t>
  </si>
  <si>
    <t>Table 5 - Freeway / Multilane
Lane Width FFS Adjustments</t>
  </si>
  <si>
    <t>Table 6 - Multilane / Two-Lane Access-Point Density FFS Adjustments</t>
  </si>
  <si>
    <t>Table 7 - Multilane Lateral Clearance
FFS Adjustments</t>
  </si>
  <si>
    <t>Table 8 - Multilane Median FFS Adjustments</t>
  </si>
  <si>
    <t>Table 9 - Two-Lane Shoulder Width FFS Adjustment</t>
  </si>
  <si>
    <t>Table 10 - Short-Term 
Work-Zone Base Capacities</t>
  </si>
  <si>
    <t>Table 11 - Long-Term
Work-Zone Base Capacities</t>
  </si>
  <si>
    <t>Table 12 - Lane Width
Capacity Adjustments</t>
  </si>
  <si>
    <t>Table 13 - Passenger Car Equivalence Factors</t>
  </si>
  <si>
    <t>Table 14 - Added Time Per Stop</t>
  </si>
  <si>
    <t>Table 15 - Assumed Vehicle Lengths</t>
  </si>
  <si>
    <t>Table 16 - Default Values by PennDOT Classification and HCM Type</t>
  </si>
  <si>
    <t>Table 17 - Hourly Distribution of Total Daily Traffic</t>
  </si>
  <si>
    <t>Table 18  - Monthly Distribution of Total Daily Traffic</t>
  </si>
  <si>
    <t>Table 19 - Ratio of
Personal / Business Travel</t>
  </si>
  <si>
    <t>Table 20 - Type of Passenger Car Travel</t>
  </si>
  <si>
    <t>Table 24 - Average
Prime Bank Lending</t>
  </si>
  <si>
    <t>Table 25 - Average Payload (lb) per truck</t>
  </si>
  <si>
    <t>Table 26 - Hourly Depreciation Costs</t>
  </si>
  <si>
    <t>Table 27 - Average Value of Commodities</t>
  </si>
  <si>
    <t>Table 28 - Fuel Consumption</t>
  </si>
  <si>
    <t>Table 29 - Percent of Trucks Loaded</t>
  </si>
  <si>
    <t>Table 30 - Vehicle Operating Costs</t>
  </si>
  <si>
    <t>Table 31 - Vehicle Operating Costs, Passenger Cars</t>
  </si>
  <si>
    <t>Table 32 - Price of Fuel</t>
  </si>
  <si>
    <t>Monthly Factor</t>
  </si>
  <si>
    <t>month</t>
  </si>
  <si>
    <t>List 12</t>
  </si>
  <si>
    <t>Months of the Year</t>
  </si>
  <si>
    <t>Traffic Data Month</t>
  </si>
  <si>
    <t>Month Code Number</t>
  </si>
  <si>
    <t>(unknown)</t>
  </si>
  <si>
    <t>a-ps / mile</t>
  </si>
  <si>
    <t>Month of the Year Encoding</t>
  </si>
  <si>
    <t>Lateral Clearance Factor</t>
  </si>
  <si>
    <r>
      <t>LSLC</t>
    </r>
    <r>
      <rPr>
        <vertAlign val="subscript"/>
        <sz val="11"/>
        <color theme="1"/>
        <rFont val="Calibri"/>
        <family val="2"/>
        <scheme val="minor"/>
      </rPr>
      <t>EX</t>
    </r>
  </si>
  <si>
    <t>Median Type Factor</t>
  </si>
  <si>
    <t>Total Ramp Density Factor</t>
  </si>
  <si>
    <t>Access-Point Density Factor</t>
  </si>
  <si>
    <t>Item</t>
  </si>
  <si>
    <t>EXISTING ROADWAY INFORMATION</t>
  </si>
  <si>
    <t>APD</t>
  </si>
  <si>
    <t>Monthly</t>
  </si>
  <si>
    <t>Split</t>
  </si>
  <si>
    <t>Cycle</t>
  </si>
  <si>
    <t>Work Zone Duration</t>
  </si>
  <si>
    <t>days</t>
  </si>
  <si>
    <t>Work Zone Hours</t>
  </si>
  <si>
    <r>
      <t>Time</t>
    </r>
    <r>
      <rPr>
        <vertAlign val="subscript"/>
        <sz val="11"/>
        <color theme="1"/>
        <rFont val="Calibri"/>
        <family val="2"/>
        <scheme val="minor"/>
      </rPr>
      <t>HRS</t>
    </r>
  </si>
  <si>
    <r>
      <t>Time</t>
    </r>
    <r>
      <rPr>
        <vertAlign val="subscript"/>
        <sz val="11"/>
        <color theme="1"/>
        <rFont val="Calibri"/>
        <family val="2"/>
        <scheme val="minor"/>
      </rPr>
      <t>DAYS</t>
    </r>
  </si>
  <si>
    <t>except for assumptions in red</t>
  </si>
  <si>
    <t>Work Zone Lane Reduction</t>
  </si>
  <si>
    <t>Time</t>
  </si>
  <si>
    <t>Work Zone</t>
  </si>
  <si>
    <t>Heavy Vehicles Factors</t>
  </si>
  <si>
    <r>
      <t>f</t>
    </r>
    <r>
      <rPr>
        <vertAlign val="subscript"/>
        <sz val="11"/>
        <color theme="1"/>
        <rFont val="Calibri"/>
        <family val="2"/>
        <scheme val="minor"/>
      </rPr>
      <t>HV</t>
    </r>
  </si>
  <si>
    <t>YES</t>
  </si>
  <si>
    <t>PRIMARY DETOUR</t>
  </si>
  <si>
    <t>PCE</t>
  </si>
  <si>
    <t>(minutes)</t>
  </si>
  <si>
    <t>Percent of Vehicles Using Detour</t>
  </si>
  <si>
    <t>Vehicles Using Detour</t>
  </si>
  <si>
    <t>miles</t>
  </si>
  <si>
    <t>hours</t>
  </si>
  <si>
    <t>minutes</t>
  </si>
  <si>
    <t>delay</t>
  </si>
  <si>
    <t>TERTIARY DETOUR</t>
  </si>
  <si>
    <t>SECONDARY DETOUR</t>
  </si>
  <si>
    <t>D3tot</t>
  </si>
  <si>
    <t>D1tot</t>
  </si>
  <si>
    <t>D1pc</t>
  </si>
  <si>
    <t>D1su</t>
  </si>
  <si>
    <t>D1ct</t>
  </si>
  <si>
    <t>D1rv</t>
  </si>
  <si>
    <t>D2tot</t>
  </si>
  <si>
    <t>D2pc</t>
  </si>
  <si>
    <t>D2su</t>
  </si>
  <si>
    <t>D2ct</t>
  </si>
  <si>
    <t>D2rv</t>
  </si>
  <si>
    <t>D3pc</t>
  </si>
  <si>
    <t>D3su</t>
  </si>
  <si>
    <t>D3ct</t>
  </si>
  <si>
    <t>D3rv</t>
  </si>
  <si>
    <t>RV</t>
  </si>
  <si>
    <t>CT</t>
  </si>
  <si>
    <t>VOLUMES BY ROUTE SELECTION</t>
  </si>
  <si>
    <t>PERCENTAGES BY ROUTE SELECTION</t>
  </si>
  <si>
    <t>Through Work Zone</t>
  </si>
  <si>
    <t>Single-Unit / Combination</t>
  </si>
  <si>
    <r>
      <t>f</t>
    </r>
    <r>
      <rPr>
        <vertAlign val="subscript"/>
        <sz val="11"/>
        <color theme="1"/>
        <rFont val="Calibri"/>
        <family val="2"/>
        <scheme val="minor"/>
      </rPr>
      <t>HV-SUCT</t>
    </r>
  </si>
  <si>
    <r>
      <t>f</t>
    </r>
    <r>
      <rPr>
        <vertAlign val="subscript"/>
        <sz val="11"/>
        <color theme="1"/>
        <rFont val="Calibri"/>
        <family val="2"/>
        <scheme val="minor"/>
      </rPr>
      <t>HV-RV</t>
    </r>
  </si>
  <si>
    <r>
      <t>%ADT</t>
    </r>
    <r>
      <rPr>
        <vertAlign val="subscript"/>
        <sz val="11"/>
        <color theme="1"/>
        <rFont val="Calibri"/>
        <family val="2"/>
        <scheme val="minor"/>
      </rPr>
      <t>SU</t>
    </r>
  </si>
  <si>
    <r>
      <t>%ADT</t>
    </r>
    <r>
      <rPr>
        <vertAlign val="subscript"/>
        <sz val="11"/>
        <color theme="1"/>
        <rFont val="Calibri"/>
        <family val="2"/>
        <scheme val="minor"/>
      </rPr>
      <t>CT</t>
    </r>
  </si>
  <si>
    <r>
      <t>%ADT</t>
    </r>
    <r>
      <rPr>
        <vertAlign val="subscript"/>
        <sz val="11"/>
        <color theme="1"/>
        <rFont val="Calibri"/>
        <family val="2"/>
        <scheme val="minor"/>
      </rPr>
      <t>RV</t>
    </r>
  </si>
  <si>
    <r>
      <t>%ADT</t>
    </r>
    <r>
      <rPr>
        <vertAlign val="subscript"/>
        <sz val="11"/>
        <color theme="1"/>
        <rFont val="Calibri"/>
        <family val="2"/>
        <scheme val="minor"/>
      </rPr>
      <t>PC</t>
    </r>
  </si>
  <si>
    <t>Unadjusted Initial Calculation</t>
  </si>
  <si>
    <t>Adjustments to Maintain Consistent Totals</t>
  </si>
  <si>
    <t>Adjusted Volumes</t>
  </si>
  <si>
    <t>HOURLY DISTRIBUTION</t>
  </si>
  <si>
    <t>This tab compiles and lists all of the volumes by hour, vehicle class, and route for use in the Calculations tab.</t>
  </si>
  <si>
    <t>VOLUMES</t>
  </si>
  <si>
    <t>This tab compiles and lists all of the values from the Tables, Input, and Overrides tabs for use in the Calculations tab.</t>
  </si>
  <si>
    <t>~~~ HIDE THESE COLUMNS ~~~</t>
  </si>
  <si>
    <t>~~~ HIDE  ~~~</t>
  </si>
  <si>
    <t>Queue</t>
  </si>
  <si>
    <t>Length of Work Zone</t>
  </si>
  <si>
    <t>Work-Zone Capacity</t>
  </si>
  <si>
    <t>Work-Zone Capacity per lane</t>
  </si>
  <si>
    <t>vph</t>
  </si>
  <si>
    <t>min</t>
  </si>
  <si>
    <t>Work-Zone Free-Flow Speed</t>
  </si>
  <si>
    <t>Added Time for Traveling</t>
  </si>
  <si>
    <t>Added Time for Speed Changes</t>
  </si>
  <si>
    <t>All Vehicles</t>
  </si>
  <si>
    <t>Added Time for Queuing</t>
  </si>
  <si>
    <t>Added Time for Flagging Queue</t>
  </si>
  <si>
    <t>Added Time for Cycle Length</t>
  </si>
  <si>
    <t>Added Time for Detour</t>
  </si>
  <si>
    <t>Added Distance Due to Detour</t>
  </si>
  <si>
    <r>
      <t xml:space="preserve">Length </t>
    </r>
    <r>
      <rPr>
        <sz val="11"/>
        <color theme="1"/>
        <rFont val="Calibri"/>
        <family val="2"/>
      </rPr>
      <t>÷</t>
    </r>
    <r>
      <rPr>
        <sz val="11"/>
        <color theme="1"/>
        <rFont val="Calibri"/>
        <family val="2"/>
        <scheme val="minor"/>
      </rPr>
      <t xml:space="preserve"> FFS</t>
    </r>
    <r>
      <rPr>
        <vertAlign val="subscript"/>
        <sz val="11"/>
        <color theme="1"/>
        <rFont val="Calibri"/>
        <family val="2"/>
        <scheme val="minor"/>
      </rPr>
      <t>EX</t>
    </r>
    <r>
      <rPr>
        <sz val="11"/>
        <color theme="1"/>
        <rFont val="Calibri"/>
        <family val="2"/>
        <scheme val="minor"/>
      </rPr>
      <t xml:space="preserve"> </t>
    </r>
    <r>
      <rPr>
        <sz val="11"/>
        <color theme="1"/>
        <rFont val="Calibri"/>
        <family val="2"/>
      </rPr>
      <t>× 60</t>
    </r>
  </si>
  <si>
    <r>
      <t xml:space="preserve">Length </t>
    </r>
    <r>
      <rPr>
        <sz val="11"/>
        <color theme="1"/>
        <rFont val="Calibri"/>
        <family val="2"/>
      </rPr>
      <t>÷</t>
    </r>
    <r>
      <rPr>
        <sz val="11"/>
        <color theme="1"/>
        <rFont val="Calibri"/>
        <family val="2"/>
        <scheme val="minor"/>
      </rPr>
      <t xml:space="preserve"> FFS</t>
    </r>
    <r>
      <rPr>
        <vertAlign val="subscript"/>
        <sz val="11"/>
        <color theme="1"/>
        <rFont val="Calibri"/>
        <family val="2"/>
        <scheme val="minor"/>
      </rPr>
      <t>WZ</t>
    </r>
    <r>
      <rPr>
        <sz val="11"/>
        <color theme="1"/>
        <rFont val="Calibri"/>
        <family val="2"/>
        <scheme val="minor"/>
      </rPr>
      <t xml:space="preserve"> </t>
    </r>
    <r>
      <rPr>
        <sz val="11"/>
        <color theme="1"/>
        <rFont val="Calibri"/>
        <family val="2"/>
      </rPr>
      <t>× 60</t>
    </r>
  </si>
  <si>
    <r>
      <t>WZCap</t>
    </r>
    <r>
      <rPr>
        <vertAlign val="subscript"/>
        <sz val="11"/>
        <color theme="1"/>
        <rFont val="Calibri"/>
        <family val="2"/>
        <scheme val="minor"/>
      </rPr>
      <t>TOTAL</t>
    </r>
  </si>
  <si>
    <r>
      <t>Time</t>
    </r>
    <r>
      <rPr>
        <vertAlign val="subscript"/>
        <sz val="11"/>
        <color theme="1"/>
        <rFont val="Calibri"/>
        <family val="2"/>
        <scheme val="minor"/>
      </rPr>
      <t>EX</t>
    </r>
  </si>
  <si>
    <r>
      <t>Time</t>
    </r>
    <r>
      <rPr>
        <vertAlign val="subscript"/>
        <sz val="11"/>
        <color theme="1"/>
        <rFont val="Calibri"/>
        <family val="2"/>
        <scheme val="minor"/>
      </rPr>
      <t>WZ</t>
    </r>
  </si>
  <si>
    <r>
      <t>AddTime</t>
    </r>
    <r>
      <rPr>
        <vertAlign val="subscript"/>
        <sz val="11"/>
        <color theme="1"/>
        <rFont val="Calibri"/>
        <family val="2"/>
        <scheme val="minor"/>
      </rPr>
      <t>TRAVEL</t>
    </r>
  </si>
  <si>
    <r>
      <t>Time</t>
    </r>
    <r>
      <rPr>
        <vertAlign val="subscript"/>
        <sz val="11"/>
        <color theme="1"/>
        <rFont val="Calibri"/>
        <family val="2"/>
        <scheme val="minor"/>
      </rPr>
      <t>WZ</t>
    </r>
    <r>
      <rPr>
        <sz val="11"/>
        <color theme="1"/>
        <rFont val="Calibri"/>
        <family val="2"/>
        <scheme val="minor"/>
      </rPr>
      <t xml:space="preserve"> - Time</t>
    </r>
    <r>
      <rPr>
        <vertAlign val="subscript"/>
        <sz val="11"/>
        <color theme="1"/>
        <rFont val="Calibri"/>
        <family val="2"/>
        <scheme val="minor"/>
      </rPr>
      <t>EX</t>
    </r>
  </si>
  <si>
    <r>
      <t>AddTime</t>
    </r>
    <r>
      <rPr>
        <vertAlign val="subscript"/>
        <sz val="11"/>
        <color theme="1"/>
        <rFont val="Calibri"/>
        <family val="2"/>
        <scheme val="minor"/>
      </rPr>
      <t>DECEL</t>
    </r>
  </si>
  <si>
    <r>
      <t>AddTime</t>
    </r>
    <r>
      <rPr>
        <vertAlign val="subscript"/>
        <sz val="11"/>
        <color theme="1"/>
        <rFont val="Calibri"/>
        <family val="2"/>
        <scheme val="minor"/>
      </rPr>
      <t>WZ</t>
    </r>
  </si>
  <si>
    <r>
      <t>AddTime</t>
    </r>
    <r>
      <rPr>
        <vertAlign val="subscript"/>
        <sz val="11"/>
        <color theme="1"/>
        <rFont val="Calibri"/>
        <family val="2"/>
        <scheme val="minor"/>
      </rPr>
      <t>TRAVEL</t>
    </r>
    <r>
      <rPr>
        <sz val="11"/>
        <color theme="1"/>
        <rFont val="Calibri"/>
        <family val="2"/>
        <scheme val="minor"/>
      </rPr>
      <t xml:space="preserve"> + AddTime</t>
    </r>
    <r>
      <rPr>
        <vertAlign val="subscript"/>
        <sz val="11"/>
        <color theme="1"/>
        <rFont val="Calibri"/>
        <family val="2"/>
        <scheme val="minor"/>
      </rPr>
      <t>DECEL</t>
    </r>
  </si>
  <si>
    <t>Total Added Time from Work Zone</t>
  </si>
  <si>
    <t>QUEUE</t>
  </si>
  <si>
    <t>WORK ZONE</t>
  </si>
  <si>
    <t>FLAGGING</t>
  </si>
  <si>
    <t>DETOURS</t>
  </si>
  <si>
    <t>NORMAL CONDITIONS</t>
  </si>
  <si>
    <t>Normal Travel Time</t>
  </si>
  <si>
    <t>Work-Zone Travel Time</t>
  </si>
  <si>
    <t>CAPACITY</t>
  </si>
  <si>
    <t>Equation</t>
  </si>
  <si>
    <t>Units</t>
  </si>
  <si>
    <r>
      <t>FFS</t>
    </r>
    <r>
      <rPr>
        <vertAlign val="subscript"/>
        <sz val="11"/>
        <color theme="1"/>
        <rFont val="Calibri"/>
        <family val="2"/>
        <scheme val="minor"/>
      </rPr>
      <t>EX</t>
    </r>
    <r>
      <rPr>
        <sz val="11"/>
        <color theme="1"/>
        <rFont val="Calibri"/>
        <family val="2"/>
        <scheme val="minor"/>
      </rPr>
      <t xml:space="preserve"> factor - FFS</t>
    </r>
    <r>
      <rPr>
        <vertAlign val="subscript"/>
        <sz val="11"/>
        <color theme="1"/>
        <rFont val="Calibri"/>
        <family val="2"/>
        <scheme val="minor"/>
      </rPr>
      <t>WZ</t>
    </r>
    <r>
      <rPr>
        <sz val="11"/>
        <color theme="1"/>
        <rFont val="Calibri"/>
        <family val="2"/>
        <scheme val="minor"/>
      </rPr>
      <t xml:space="preserve"> factor
</t>
    </r>
    <r>
      <rPr>
        <i/>
        <sz val="11"/>
        <color theme="1"/>
        <rFont val="Calibri"/>
        <family val="2"/>
        <scheme val="minor"/>
      </rPr>
      <t>(from Table 14)</t>
    </r>
  </si>
  <si>
    <r>
      <t>AddTime</t>
    </r>
    <r>
      <rPr>
        <vertAlign val="subscript"/>
        <sz val="11"/>
        <color theme="1"/>
        <rFont val="Calibri"/>
        <family val="2"/>
        <scheme val="minor"/>
      </rPr>
      <t>QDECEL</t>
    </r>
  </si>
  <si>
    <r>
      <t>FFS</t>
    </r>
    <r>
      <rPr>
        <vertAlign val="subscript"/>
        <sz val="11"/>
        <color theme="1"/>
        <rFont val="Calibri"/>
        <family val="2"/>
        <scheme val="minor"/>
      </rPr>
      <t>WZ</t>
    </r>
    <r>
      <rPr>
        <sz val="11"/>
        <color theme="1"/>
        <rFont val="Calibri"/>
        <family val="2"/>
        <scheme val="minor"/>
      </rPr>
      <t xml:space="preserve"> factor - STOP factor
</t>
    </r>
    <r>
      <rPr>
        <i/>
        <sz val="11"/>
        <color theme="1"/>
        <rFont val="Calibri"/>
        <family val="2"/>
        <scheme val="minor"/>
      </rPr>
      <t>(from Table 14)</t>
    </r>
  </si>
  <si>
    <r>
      <t>AddTime</t>
    </r>
    <r>
      <rPr>
        <vertAlign val="subscript"/>
        <sz val="11"/>
        <color theme="1"/>
        <rFont val="Calibri"/>
        <family val="2"/>
        <scheme val="minor"/>
      </rPr>
      <t>FDECEL</t>
    </r>
  </si>
  <si>
    <t>Total Added Time from Flagging</t>
  </si>
  <si>
    <r>
      <t>AddTime</t>
    </r>
    <r>
      <rPr>
        <vertAlign val="subscript"/>
        <sz val="11"/>
        <color theme="1"/>
        <rFont val="Calibri"/>
        <family val="2"/>
        <scheme val="minor"/>
      </rPr>
      <t>F</t>
    </r>
  </si>
  <si>
    <r>
      <t>AddTime</t>
    </r>
    <r>
      <rPr>
        <vertAlign val="subscript"/>
        <sz val="11"/>
        <color theme="1"/>
        <rFont val="Calibri"/>
        <family val="2"/>
        <scheme val="minor"/>
      </rPr>
      <t>FDECEL</t>
    </r>
    <r>
      <rPr>
        <sz val="11"/>
        <color theme="1"/>
        <rFont val="Calibri"/>
        <family val="2"/>
        <scheme val="minor"/>
      </rPr>
      <t xml:space="preserve"> + Cycle</t>
    </r>
  </si>
  <si>
    <r>
      <t>Added Time for Flagging Queue</t>
    </r>
    <r>
      <rPr>
        <i/>
        <sz val="11"/>
        <color theme="1"/>
        <rFont val="Calibri"/>
        <family val="2"/>
        <scheme val="minor"/>
      </rPr>
      <t xml:space="preserve"> (continued)</t>
    </r>
  </si>
  <si>
    <r>
      <t>Added Time for Queuing</t>
    </r>
    <r>
      <rPr>
        <i/>
        <sz val="11"/>
        <color theme="1"/>
        <rFont val="Calibri"/>
        <family val="2"/>
        <scheme val="minor"/>
      </rPr>
      <t xml:space="preserve"> (continued)</t>
    </r>
  </si>
  <si>
    <r>
      <t>Added Time for Speed Changes</t>
    </r>
    <r>
      <rPr>
        <i/>
        <sz val="11"/>
        <color theme="1"/>
        <rFont val="Calibri"/>
        <family val="2"/>
        <scheme val="minor"/>
      </rPr>
      <t xml:space="preserve"> (continued)</t>
    </r>
  </si>
  <si>
    <r>
      <t>D1</t>
    </r>
    <r>
      <rPr>
        <vertAlign val="subscript"/>
        <sz val="11"/>
        <color theme="1"/>
        <rFont val="Calibri"/>
        <family val="2"/>
        <scheme val="minor"/>
      </rPr>
      <t>LENGTH</t>
    </r>
  </si>
  <si>
    <r>
      <t>D2</t>
    </r>
    <r>
      <rPr>
        <vertAlign val="subscript"/>
        <sz val="11"/>
        <color theme="1"/>
        <rFont val="Calibri"/>
        <family val="2"/>
        <scheme val="minor"/>
      </rPr>
      <t>LENGTH</t>
    </r>
  </si>
  <si>
    <r>
      <t>D3</t>
    </r>
    <r>
      <rPr>
        <vertAlign val="subscript"/>
        <sz val="11"/>
        <color theme="1"/>
        <rFont val="Calibri"/>
        <family val="2"/>
        <scheme val="minor"/>
      </rPr>
      <t>LENGTH</t>
    </r>
  </si>
  <si>
    <t>Volume</t>
  </si>
  <si>
    <r>
      <t>AddTime</t>
    </r>
    <r>
      <rPr>
        <vertAlign val="subscript"/>
        <sz val="11"/>
        <color theme="1"/>
        <rFont val="Calibri"/>
        <family val="2"/>
        <scheme val="minor"/>
      </rPr>
      <t>D1</t>
    </r>
  </si>
  <si>
    <r>
      <t>AddTime</t>
    </r>
    <r>
      <rPr>
        <vertAlign val="subscript"/>
        <sz val="11"/>
        <color theme="1"/>
        <rFont val="Calibri"/>
        <family val="2"/>
        <scheme val="minor"/>
      </rPr>
      <t>D2</t>
    </r>
  </si>
  <si>
    <r>
      <t>AddTime</t>
    </r>
    <r>
      <rPr>
        <vertAlign val="subscript"/>
        <sz val="11"/>
        <color theme="1"/>
        <rFont val="Calibri"/>
        <family val="2"/>
        <scheme val="minor"/>
      </rPr>
      <t>D3</t>
    </r>
  </si>
  <si>
    <t>This tab calculates the delays by vehicle class and route selection.</t>
  </si>
  <si>
    <t>Existing</t>
  </si>
  <si>
    <t>Arriving</t>
  </si>
  <si>
    <t>Remaining</t>
  </si>
  <si>
    <t>Demand</t>
  </si>
  <si>
    <t>Average Assumed Vehicle Length in Queue</t>
  </si>
  <si>
    <t>Weighted Average</t>
  </si>
  <si>
    <t>Delay</t>
  </si>
  <si>
    <t>Buffer Spacing in Queue (rear to front bumpers)</t>
  </si>
  <si>
    <t>Buffer Spacing</t>
  </si>
  <si>
    <t>Speed of Vehicles in Queue</t>
  </si>
  <si>
    <t>Average Speed Change Vehicles in Queue</t>
  </si>
  <si>
    <t>pce</t>
  </si>
  <si>
    <t>Serviced</t>
  </si>
  <si>
    <t>End of</t>
  </si>
  <si>
    <t>YES/no</t>
  </si>
  <si>
    <t>min/veh</t>
  </si>
  <si>
    <t>veh</t>
  </si>
  <si>
    <t>Additional Time Spent in Work Zone</t>
  </si>
  <si>
    <t>Additional Time Spent in Queue</t>
  </si>
  <si>
    <t>Additional Time Spent on Detour 1</t>
  </si>
  <si>
    <t>Additional Time Spent on Detour 2</t>
  </si>
  <si>
    <t>Additional Time Spent on Detour 3</t>
  </si>
  <si>
    <t>Additional Distance Spent on Detour 1</t>
  </si>
  <si>
    <t>Additional Distance Spent on Detour 2</t>
  </si>
  <si>
    <t>Additional Distance Spent on Detour 3</t>
  </si>
  <si>
    <t>Operating Cost in Work Zone</t>
  </si>
  <si>
    <t>Delay Cost in Work Zone</t>
  </si>
  <si>
    <t>Delay Cost in Queue</t>
  </si>
  <si>
    <t>Delay Cost on Detour 1</t>
  </si>
  <si>
    <t>Delay Cost on Detour 2</t>
  </si>
  <si>
    <t>Delay Cost on Detour 3</t>
  </si>
  <si>
    <t>HOURLY TRAVEL DELAY COST</t>
  </si>
  <si>
    <t>Cost Per Hour</t>
  </si>
  <si>
    <t>Average Vehicle Occupancy</t>
  </si>
  <si>
    <t>Predominant Type of Personal Travel</t>
  </si>
  <si>
    <t>Hourly Personal Travel Cost</t>
  </si>
  <si>
    <t>from Table 20</t>
  </si>
  <si>
    <t>MAHI / 2080</t>
  </si>
  <si>
    <r>
      <t>CPH</t>
    </r>
    <r>
      <rPr>
        <vertAlign val="subscript"/>
        <sz val="11"/>
        <color theme="1"/>
        <rFont val="Calibri"/>
        <family val="2"/>
        <scheme val="minor"/>
      </rPr>
      <t>PC-P</t>
    </r>
  </si>
  <si>
    <r>
      <t>f</t>
    </r>
    <r>
      <rPr>
        <vertAlign val="subscript"/>
        <sz val="11"/>
        <color theme="1"/>
        <rFont val="Calibri"/>
        <family val="2"/>
        <scheme val="minor"/>
      </rPr>
      <t>PTPT</t>
    </r>
  </si>
  <si>
    <r>
      <t>AVO</t>
    </r>
    <r>
      <rPr>
        <vertAlign val="subscript"/>
        <sz val="11"/>
        <color theme="1"/>
        <rFont val="Calibri"/>
        <family val="2"/>
        <scheme val="minor"/>
      </rPr>
      <t>PC-P</t>
    </r>
  </si>
  <si>
    <t>from Table 23</t>
  </si>
  <si>
    <r>
      <t>f</t>
    </r>
    <r>
      <rPr>
        <vertAlign val="subscript"/>
        <sz val="11"/>
        <color theme="1"/>
        <rFont val="Calibri"/>
        <family val="2"/>
        <scheme val="minor"/>
      </rPr>
      <t>PTPT</t>
    </r>
    <r>
      <rPr>
        <sz val="11"/>
        <color theme="1"/>
        <rFont val="Calibri"/>
        <family val="2"/>
        <scheme val="minor"/>
      </rPr>
      <t xml:space="preserve"> </t>
    </r>
    <r>
      <rPr>
        <sz val="11"/>
        <color theme="1"/>
        <rFont val="Calibri"/>
        <family val="2"/>
      </rPr>
      <t>× CPH</t>
    </r>
    <r>
      <rPr>
        <vertAlign val="subscript"/>
        <sz val="11"/>
        <color theme="1"/>
        <rFont val="Calibri"/>
        <family val="2"/>
      </rPr>
      <t>PC-P</t>
    </r>
    <r>
      <rPr>
        <sz val="11"/>
        <color theme="1"/>
        <rFont val="Calibri"/>
        <family val="2"/>
      </rPr>
      <t xml:space="preserve"> × AVO</t>
    </r>
    <r>
      <rPr>
        <vertAlign val="subscript"/>
        <sz val="11"/>
        <color theme="1"/>
        <rFont val="Calibri"/>
        <family val="2"/>
      </rPr>
      <t>PC-P</t>
    </r>
  </si>
  <si>
    <t>Business Travel for Passenger Cars</t>
  </si>
  <si>
    <t>Personal Travel for Passenger Cars &amp; Recreational Vehicles</t>
  </si>
  <si>
    <t>Predominant Type of Business Travel</t>
  </si>
  <si>
    <r>
      <t>f</t>
    </r>
    <r>
      <rPr>
        <vertAlign val="subscript"/>
        <sz val="11"/>
        <color theme="1"/>
        <rFont val="Calibri"/>
        <family val="2"/>
        <scheme val="minor"/>
      </rPr>
      <t>PTBT</t>
    </r>
  </si>
  <si>
    <r>
      <t>CPH</t>
    </r>
    <r>
      <rPr>
        <vertAlign val="subscript"/>
        <sz val="11"/>
        <color theme="1"/>
        <rFont val="Calibri"/>
        <family val="2"/>
        <scheme val="minor"/>
      </rPr>
      <t>PC-B</t>
    </r>
  </si>
  <si>
    <r>
      <t>AVO</t>
    </r>
    <r>
      <rPr>
        <vertAlign val="subscript"/>
        <sz val="11"/>
        <color theme="1"/>
        <rFont val="Calibri"/>
        <family val="2"/>
        <scheme val="minor"/>
      </rPr>
      <t>PC-B</t>
    </r>
  </si>
  <si>
    <r>
      <t>f</t>
    </r>
    <r>
      <rPr>
        <vertAlign val="subscript"/>
        <sz val="11"/>
        <color theme="1"/>
        <rFont val="Calibri"/>
        <family val="2"/>
        <scheme val="minor"/>
      </rPr>
      <t>PTBT</t>
    </r>
    <r>
      <rPr>
        <sz val="11"/>
        <color theme="1"/>
        <rFont val="Calibri"/>
        <family val="2"/>
        <scheme val="minor"/>
      </rPr>
      <t xml:space="preserve"> </t>
    </r>
    <r>
      <rPr>
        <sz val="11"/>
        <color theme="1"/>
        <rFont val="Calibri"/>
        <family val="2"/>
      </rPr>
      <t>× CPH</t>
    </r>
    <r>
      <rPr>
        <vertAlign val="subscript"/>
        <sz val="11"/>
        <color theme="1"/>
        <rFont val="Calibri"/>
        <family val="2"/>
      </rPr>
      <t>PC-B</t>
    </r>
    <r>
      <rPr>
        <sz val="11"/>
        <color theme="1"/>
        <rFont val="Calibri"/>
        <family val="2"/>
      </rPr>
      <t xml:space="preserve"> × AVO</t>
    </r>
    <r>
      <rPr>
        <vertAlign val="subscript"/>
        <sz val="11"/>
        <color theme="1"/>
        <rFont val="Calibri"/>
        <family val="2"/>
      </rPr>
      <t>PC-B</t>
    </r>
  </si>
  <si>
    <t>Averaged Travel for Passenger Cars and Recreational Vehicles</t>
  </si>
  <si>
    <r>
      <t>HourlyCost</t>
    </r>
    <r>
      <rPr>
        <vertAlign val="subscript"/>
        <sz val="11"/>
        <color theme="1"/>
        <rFont val="Calibri"/>
        <family val="2"/>
        <scheme val="minor"/>
      </rPr>
      <t>PC</t>
    </r>
  </si>
  <si>
    <r>
      <t>%PC</t>
    </r>
    <r>
      <rPr>
        <vertAlign val="subscript"/>
        <sz val="11"/>
        <color theme="1"/>
        <rFont val="Calibri"/>
        <family val="2"/>
        <scheme val="minor"/>
      </rPr>
      <t>P</t>
    </r>
  </si>
  <si>
    <r>
      <t>%PC</t>
    </r>
    <r>
      <rPr>
        <vertAlign val="subscript"/>
        <sz val="11"/>
        <color theme="1"/>
        <rFont val="Calibri"/>
        <family val="2"/>
        <scheme val="minor"/>
      </rPr>
      <t>B</t>
    </r>
  </si>
  <si>
    <t>from Table 19</t>
  </si>
  <si>
    <t>Travel for Single-Unit Trucks</t>
  </si>
  <si>
    <t>Hourly Single-Unit Travel Cost</t>
  </si>
  <si>
    <r>
      <t>CPH</t>
    </r>
    <r>
      <rPr>
        <vertAlign val="subscript"/>
        <sz val="11"/>
        <color theme="1"/>
        <rFont val="Calibri"/>
        <family val="2"/>
        <scheme val="minor"/>
      </rPr>
      <t>SU</t>
    </r>
  </si>
  <si>
    <t>from Table 22</t>
  </si>
  <si>
    <r>
      <t>AVO</t>
    </r>
    <r>
      <rPr>
        <vertAlign val="subscript"/>
        <sz val="11"/>
        <color theme="1"/>
        <rFont val="Calibri"/>
        <family val="2"/>
        <scheme val="minor"/>
      </rPr>
      <t>SU</t>
    </r>
  </si>
  <si>
    <r>
      <rPr>
        <sz val="11"/>
        <color theme="1"/>
        <rFont val="Calibri"/>
        <family val="2"/>
      </rPr>
      <t>CPH</t>
    </r>
    <r>
      <rPr>
        <vertAlign val="subscript"/>
        <sz val="11"/>
        <color theme="1"/>
        <rFont val="Calibri"/>
        <family val="2"/>
      </rPr>
      <t>SU</t>
    </r>
    <r>
      <rPr>
        <sz val="11"/>
        <color theme="1"/>
        <rFont val="Calibri"/>
        <family val="2"/>
      </rPr>
      <t xml:space="preserve"> × AVO</t>
    </r>
    <r>
      <rPr>
        <vertAlign val="subscript"/>
        <sz val="11"/>
        <color theme="1"/>
        <rFont val="Calibri"/>
        <family val="2"/>
      </rPr>
      <t>SU</t>
    </r>
  </si>
  <si>
    <t>persons/veh</t>
  </si>
  <si>
    <t>$/veh-hr</t>
  </si>
  <si>
    <t>Percent of PCs / RVs on Personal Travel</t>
  </si>
  <si>
    <t>Weighted Average of PCs / RVs Travel</t>
  </si>
  <si>
    <t>Percent of PCs on Business Travel</t>
  </si>
  <si>
    <t>$/person-hr</t>
  </si>
  <si>
    <t>Travel for Combination Trucks</t>
  </si>
  <si>
    <t>Hourly Combination Travel Cost</t>
  </si>
  <si>
    <r>
      <t>CPH</t>
    </r>
    <r>
      <rPr>
        <vertAlign val="subscript"/>
        <sz val="11"/>
        <color theme="1"/>
        <rFont val="Calibri"/>
        <family val="2"/>
        <scheme val="minor"/>
      </rPr>
      <t>CT</t>
    </r>
  </si>
  <si>
    <r>
      <t>AVO</t>
    </r>
    <r>
      <rPr>
        <vertAlign val="subscript"/>
        <sz val="11"/>
        <color theme="1"/>
        <rFont val="Calibri"/>
        <family val="2"/>
        <scheme val="minor"/>
      </rPr>
      <t>CT</t>
    </r>
  </si>
  <si>
    <r>
      <t>HourlyCost</t>
    </r>
    <r>
      <rPr>
        <vertAlign val="subscript"/>
        <sz val="11"/>
        <color theme="1"/>
        <rFont val="Calibri"/>
        <family val="2"/>
        <scheme val="minor"/>
      </rPr>
      <t>CT</t>
    </r>
  </si>
  <si>
    <r>
      <t>HourlyCost</t>
    </r>
    <r>
      <rPr>
        <vertAlign val="subscript"/>
        <sz val="11"/>
        <color theme="1"/>
        <rFont val="Calibri"/>
        <family val="2"/>
        <scheme val="minor"/>
      </rPr>
      <t>SU</t>
    </r>
  </si>
  <si>
    <r>
      <t>CPH</t>
    </r>
    <r>
      <rPr>
        <vertAlign val="subscript"/>
        <sz val="11"/>
        <color theme="1"/>
        <rFont val="Calibri"/>
        <family val="2"/>
      </rPr>
      <t>CT</t>
    </r>
    <r>
      <rPr>
        <sz val="11"/>
        <color theme="1"/>
        <rFont val="Calibri"/>
        <family val="2"/>
      </rPr>
      <t xml:space="preserve"> × AVO</t>
    </r>
    <r>
      <rPr>
        <vertAlign val="subscript"/>
        <sz val="11"/>
        <color theme="1"/>
        <rFont val="Calibri"/>
        <family val="2"/>
      </rPr>
      <t>CT</t>
    </r>
  </si>
  <si>
    <t>Freight for Single-Unit Trucks</t>
  </si>
  <si>
    <t>Percent of trucks that are loaded</t>
  </si>
  <si>
    <t>Hourly Single-Unit Freight Delay Cost</t>
  </si>
  <si>
    <t>Average Value of Commodities</t>
  </si>
  <si>
    <t>$/lb</t>
  </si>
  <si>
    <t>Average Payload per Truck</t>
  </si>
  <si>
    <t>lb/veh</t>
  </si>
  <si>
    <r>
      <t>Loaded</t>
    </r>
    <r>
      <rPr>
        <vertAlign val="subscript"/>
        <sz val="11"/>
        <color theme="1"/>
        <rFont val="Calibri"/>
        <family val="2"/>
        <scheme val="minor"/>
      </rPr>
      <t>SU</t>
    </r>
  </si>
  <si>
    <r>
      <t>CPH</t>
    </r>
    <r>
      <rPr>
        <vertAlign val="subscript"/>
        <sz val="11"/>
        <color theme="1"/>
        <rFont val="Calibri"/>
        <family val="2"/>
        <scheme val="minor"/>
      </rPr>
      <t>F-SU</t>
    </r>
  </si>
  <si>
    <r>
      <t>Payload</t>
    </r>
    <r>
      <rPr>
        <vertAlign val="subscript"/>
        <sz val="11"/>
        <color theme="1"/>
        <rFont val="Calibri"/>
        <family val="2"/>
        <scheme val="minor"/>
      </rPr>
      <t>SU</t>
    </r>
  </si>
  <si>
    <t>Comm</t>
  </si>
  <si>
    <t>from Table 27</t>
  </si>
  <si>
    <t>from Table 25</t>
  </si>
  <si>
    <r>
      <t>Comm × Payload</t>
    </r>
    <r>
      <rPr>
        <vertAlign val="subscript"/>
        <sz val="10"/>
        <color theme="1"/>
        <rFont val="Calibri"/>
        <family val="2"/>
      </rPr>
      <t>SU</t>
    </r>
    <r>
      <rPr>
        <sz val="10"/>
        <color theme="1"/>
        <rFont val="Calibri"/>
        <family val="2"/>
      </rPr>
      <t xml:space="preserve"> × Discount</t>
    </r>
  </si>
  <si>
    <r>
      <t>CPH</t>
    </r>
    <r>
      <rPr>
        <vertAlign val="subscript"/>
        <sz val="11"/>
        <color theme="1"/>
        <rFont val="Calibri"/>
        <family val="2"/>
      </rPr>
      <t>F-SU</t>
    </r>
    <r>
      <rPr>
        <sz val="11"/>
        <color theme="1"/>
        <rFont val="Calibri"/>
        <family val="2"/>
      </rPr>
      <t xml:space="preserve"> × Loaded</t>
    </r>
    <r>
      <rPr>
        <vertAlign val="subscript"/>
        <sz val="11"/>
        <color theme="1"/>
        <rFont val="Calibri"/>
        <family val="2"/>
      </rPr>
      <t>SU</t>
    </r>
  </si>
  <si>
    <t>Freight for Combination Trucks</t>
  </si>
  <si>
    <t>Hourly Combination Freight Delay Cost</t>
  </si>
  <si>
    <r>
      <t>Payload</t>
    </r>
    <r>
      <rPr>
        <vertAlign val="subscript"/>
        <sz val="11"/>
        <color theme="1"/>
        <rFont val="Calibri"/>
        <family val="2"/>
        <scheme val="minor"/>
      </rPr>
      <t>CT</t>
    </r>
  </si>
  <si>
    <r>
      <t>CPH</t>
    </r>
    <r>
      <rPr>
        <vertAlign val="subscript"/>
        <sz val="11"/>
        <color theme="1"/>
        <rFont val="Calibri"/>
        <family val="2"/>
        <scheme val="minor"/>
      </rPr>
      <t>F-CT</t>
    </r>
  </si>
  <si>
    <r>
      <t>Loaded</t>
    </r>
    <r>
      <rPr>
        <vertAlign val="subscript"/>
        <sz val="11"/>
        <color theme="1"/>
        <rFont val="Calibri"/>
        <family val="2"/>
        <scheme val="minor"/>
      </rPr>
      <t>CT</t>
    </r>
  </si>
  <si>
    <r>
      <t>Comm × Payload</t>
    </r>
    <r>
      <rPr>
        <vertAlign val="subscript"/>
        <sz val="10"/>
        <color theme="1"/>
        <rFont val="Calibri"/>
        <family val="2"/>
      </rPr>
      <t>CT</t>
    </r>
    <r>
      <rPr>
        <sz val="10"/>
        <color theme="1"/>
        <rFont val="Calibri"/>
        <family val="2"/>
      </rPr>
      <t xml:space="preserve"> × Discount</t>
    </r>
  </si>
  <si>
    <r>
      <t>CPH</t>
    </r>
    <r>
      <rPr>
        <vertAlign val="subscript"/>
        <sz val="11"/>
        <color theme="1"/>
        <rFont val="Calibri"/>
        <family val="2"/>
      </rPr>
      <t>F-CT</t>
    </r>
    <r>
      <rPr>
        <sz val="11"/>
        <color theme="1"/>
        <rFont val="Calibri"/>
        <family val="2"/>
      </rPr>
      <t xml:space="preserve"> × Loaded</t>
    </r>
    <r>
      <rPr>
        <vertAlign val="subscript"/>
        <sz val="11"/>
        <color theme="1"/>
        <rFont val="Calibri"/>
        <family val="2"/>
      </rPr>
      <t>CT</t>
    </r>
  </si>
  <si>
    <t>Time-Related Vehicle Depreciation</t>
  </si>
  <si>
    <r>
      <t>FreightCost</t>
    </r>
    <r>
      <rPr>
        <vertAlign val="subscript"/>
        <sz val="11"/>
        <color theme="1"/>
        <rFont val="Calibri"/>
        <family val="2"/>
        <scheme val="minor"/>
      </rPr>
      <t>CT</t>
    </r>
  </si>
  <si>
    <r>
      <t>FreightCost</t>
    </r>
    <r>
      <rPr>
        <vertAlign val="subscript"/>
        <sz val="11"/>
        <color theme="1"/>
        <rFont val="Calibri"/>
        <family val="2"/>
        <scheme val="minor"/>
      </rPr>
      <t>SU</t>
    </r>
  </si>
  <si>
    <r>
      <t>Dep</t>
    </r>
    <r>
      <rPr>
        <vertAlign val="subscript"/>
        <sz val="11"/>
        <color theme="1"/>
        <rFont val="Calibri"/>
        <family val="2"/>
        <scheme val="minor"/>
      </rPr>
      <t>PC</t>
    </r>
  </si>
  <si>
    <r>
      <t>Dep</t>
    </r>
    <r>
      <rPr>
        <vertAlign val="subscript"/>
        <sz val="11"/>
        <color theme="1"/>
        <rFont val="Calibri"/>
        <family val="2"/>
        <scheme val="minor"/>
      </rPr>
      <t>SU</t>
    </r>
  </si>
  <si>
    <r>
      <t>Dep</t>
    </r>
    <r>
      <rPr>
        <vertAlign val="subscript"/>
        <sz val="11"/>
        <color theme="1"/>
        <rFont val="Calibri"/>
        <family val="2"/>
        <scheme val="minor"/>
      </rPr>
      <t>CT</t>
    </r>
  </si>
  <si>
    <t>Total Hourly Delay Cost</t>
  </si>
  <si>
    <r>
      <t>HourlyCost</t>
    </r>
    <r>
      <rPr>
        <vertAlign val="subscript"/>
        <sz val="11"/>
        <color theme="1"/>
        <rFont val="Calibri"/>
        <family val="2"/>
        <scheme val="minor"/>
      </rPr>
      <t>RV</t>
    </r>
  </si>
  <si>
    <r>
      <t>TravelCost</t>
    </r>
    <r>
      <rPr>
        <vertAlign val="subscript"/>
        <sz val="11"/>
        <color theme="1"/>
        <rFont val="Calibri"/>
        <family val="2"/>
        <scheme val="minor"/>
      </rPr>
      <t>PC-P</t>
    </r>
  </si>
  <si>
    <r>
      <t>TravelCost</t>
    </r>
    <r>
      <rPr>
        <vertAlign val="subscript"/>
        <sz val="11"/>
        <color theme="1"/>
        <rFont val="Calibri"/>
        <family val="2"/>
        <scheme val="minor"/>
      </rPr>
      <t>PC-B</t>
    </r>
  </si>
  <si>
    <r>
      <t>TravelCost</t>
    </r>
    <r>
      <rPr>
        <vertAlign val="subscript"/>
        <sz val="11"/>
        <color theme="1"/>
        <rFont val="Calibri"/>
        <family val="2"/>
        <scheme val="minor"/>
      </rPr>
      <t>PC</t>
    </r>
  </si>
  <si>
    <r>
      <t>TravelCost</t>
    </r>
    <r>
      <rPr>
        <vertAlign val="subscript"/>
        <sz val="11"/>
        <color theme="1"/>
        <rFont val="Calibri"/>
        <family val="2"/>
        <scheme val="minor"/>
      </rPr>
      <t>SU</t>
    </r>
  </si>
  <si>
    <r>
      <t>TravelCost</t>
    </r>
    <r>
      <rPr>
        <vertAlign val="subscript"/>
        <sz val="11"/>
        <color theme="1"/>
        <rFont val="Calibri"/>
        <family val="2"/>
        <scheme val="minor"/>
      </rPr>
      <t>CT</t>
    </r>
  </si>
  <si>
    <r>
      <t xml:space="preserve">(%PCP </t>
    </r>
    <r>
      <rPr>
        <sz val="10"/>
        <color theme="1"/>
        <rFont val="Calibri"/>
        <family val="2"/>
      </rPr>
      <t>×</t>
    </r>
    <r>
      <rPr>
        <sz val="10"/>
        <color theme="1"/>
        <rFont val="Calibri"/>
        <family val="2"/>
        <scheme val="minor"/>
      </rPr>
      <t xml:space="preserve"> TravelCostPCP) + (%PCB </t>
    </r>
    <r>
      <rPr>
        <sz val="10"/>
        <color theme="1"/>
        <rFont val="Calibri"/>
        <family val="2"/>
      </rPr>
      <t>× TravelCostPCB)</t>
    </r>
  </si>
  <si>
    <t>Travel + Depreciation</t>
  </si>
  <si>
    <t>Travel + Freight + Depreciation</t>
  </si>
  <si>
    <r>
      <t>Idling</t>
    </r>
    <r>
      <rPr>
        <vertAlign val="subscript"/>
        <sz val="11"/>
        <color theme="1"/>
        <rFont val="Calibri"/>
        <family val="2"/>
        <scheme val="minor"/>
      </rPr>
      <t>PC</t>
    </r>
  </si>
  <si>
    <r>
      <t>Idling</t>
    </r>
    <r>
      <rPr>
        <vertAlign val="subscript"/>
        <sz val="11"/>
        <color theme="1"/>
        <rFont val="Calibri"/>
        <family val="2"/>
        <scheme val="minor"/>
      </rPr>
      <t>SU</t>
    </r>
  </si>
  <si>
    <r>
      <t>Idling</t>
    </r>
    <r>
      <rPr>
        <vertAlign val="subscript"/>
        <sz val="11"/>
        <color theme="1"/>
        <rFont val="Calibri"/>
        <family val="2"/>
        <scheme val="minor"/>
      </rPr>
      <t>CT</t>
    </r>
  </si>
  <si>
    <r>
      <t>Idling</t>
    </r>
    <r>
      <rPr>
        <vertAlign val="subscript"/>
        <sz val="11"/>
        <color theme="1"/>
        <rFont val="Calibri"/>
        <family val="2"/>
        <scheme val="minor"/>
      </rPr>
      <t>RV</t>
    </r>
  </si>
  <si>
    <t>from Table 28</t>
  </si>
  <si>
    <t>OPERATING COST PER MILE</t>
  </si>
  <si>
    <t>$/veh-mi</t>
  </si>
  <si>
    <r>
      <t>VOC</t>
    </r>
    <r>
      <rPr>
        <vertAlign val="subscript"/>
        <sz val="11"/>
        <color theme="1"/>
        <rFont val="Calibri"/>
        <family val="2"/>
        <scheme val="minor"/>
      </rPr>
      <t>PC</t>
    </r>
  </si>
  <si>
    <r>
      <t>VOC</t>
    </r>
    <r>
      <rPr>
        <vertAlign val="subscript"/>
        <sz val="11"/>
        <color theme="1"/>
        <rFont val="Calibri"/>
        <family val="2"/>
        <scheme val="minor"/>
      </rPr>
      <t>SU</t>
    </r>
  </si>
  <si>
    <r>
      <t>VOC</t>
    </r>
    <r>
      <rPr>
        <vertAlign val="subscript"/>
        <sz val="11"/>
        <color theme="1"/>
        <rFont val="Calibri"/>
        <family val="2"/>
        <scheme val="minor"/>
      </rPr>
      <t>CT</t>
    </r>
  </si>
  <si>
    <r>
      <t>VOC</t>
    </r>
    <r>
      <rPr>
        <vertAlign val="subscript"/>
        <sz val="11"/>
        <color theme="1"/>
        <rFont val="Calibri"/>
        <family val="2"/>
        <scheme val="minor"/>
      </rPr>
      <t>RV</t>
    </r>
  </si>
  <si>
    <t>Operating Cost</t>
  </si>
  <si>
    <t>Idling Cost</t>
  </si>
  <si>
    <t>hr</t>
  </si>
  <si>
    <t>Idling Cost in Queue</t>
  </si>
  <si>
    <t>Idling Cost in Flagging Queue</t>
  </si>
  <si>
    <t>Operating Cost for Flagging</t>
  </si>
  <si>
    <t>Delay Cost for Flagging</t>
  </si>
  <si>
    <t>Additional Time Spent for Flagging</t>
  </si>
  <si>
    <t>$/veh</t>
  </si>
  <si>
    <t>Operating Cost on Detour 1</t>
  </si>
  <si>
    <t>Operating Cost on Detour 2</t>
  </si>
  <si>
    <t>Operating Cost on Detour 3</t>
  </si>
  <si>
    <t>This tab calculates the cost of delay.</t>
  </si>
  <si>
    <t>ADDITIONAL TIME</t>
  </si>
  <si>
    <t>ADDITIONAL DISTANCE</t>
  </si>
  <si>
    <t>UNIT COSTS</t>
  </si>
  <si>
    <t>DELAY COSTS PER VEHICLE</t>
  </si>
  <si>
    <t>OPERATING COSTS PER VEHICLE</t>
  </si>
  <si>
    <t>IDLING COSTS PER VEHICLE</t>
  </si>
  <si>
    <t>OPERATING COST PER HOUR</t>
  </si>
  <si>
    <t>IDLING COST PER HOUR</t>
  </si>
  <si>
    <r>
      <t>Operating</t>
    </r>
    <r>
      <rPr>
        <vertAlign val="subscript"/>
        <sz val="11"/>
        <color theme="1"/>
        <rFont val="Calibri"/>
        <family val="2"/>
        <scheme val="minor"/>
      </rPr>
      <t>PC</t>
    </r>
  </si>
  <si>
    <r>
      <t>Operating</t>
    </r>
    <r>
      <rPr>
        <vertAlign val="subscript"/>
        <sz val="11"/>
        <color theme="1"/>
        <rFont val="Calibri"/>
        <family val="2"/>
        <scheme val="minor"/>
      </rPr>
      <t>SU</t>
    </r>
  </si>
  <si>
    <r>
      <t>Operating</t>
    </r>
    <r>
      <rPr>
        <vertAlign val="subscript"/>
        <sz val="11"/>
        <color theme="1"/>
        <rFont val="Calibri"/>
        <family val="2"/>
        <scheme val="minor"/>
      </rPr>
      <t>CT</t>
    </r>
  </si>
  <si>
    <r>
      <t>Operating</t>
    </r>
    <r>
      <rPr>
        <vertAlign val="subscript"/>
        <sz val="11"/>
        <color theme="1"/>
        <rFont val="Calibri"/>
        <family val="2"/>
        <scheme val="minor"/>
      </rPr>
      <t>RV</t>
    </r>
  </si>
  <si>
    <t>Cost per Vehicle in Work Zone</t>
  </si>
  <si>
    <t>Cost per Vehicle in Queue</t>
  </si>
  <si>
    <t>Cost per Vehicle in Flagging</t>
  </si>
  <si>
    <t>Cost per Vehicle on Detour 1</t>
  </si>
  <si>
    <t>Cost per Vehicle on Detour 2</t>
  </si>
  <si>
    <t>Cost per Vehicle on Detour 3</t>
  </si>
  <si>
    <t>TOTAL COST BY SCENARIO</t>
  </si>
  <si>
    <t>Flagging</t>
  </si>
  <si>
    <t>Costs ($)</t>
  </si>
  <si>
    <t>Start Time</t>
  </si>
  <si>
    <t>From PennDOT PUB 601 (8-12) Table 355</t>
  </si>
  <si>
    <t>UPDATER</t>
  </si>
  <si>
    <t>This tab is used only by PennDOT Central Office to make annual updates to default values.
This tab is password protected.</t>
  </si>
  <si>
    <t>For annual updates, enter values only into the orange colored cells.</t>
  </si>
  <si>
    <t>Cell for updating</t>
  </si>
  <si>
    <t>LEGEND</t>
  </si>
  <si>
    <t>Roadway Capacity</t>
  </si>
  <si>
    <t>Existing Roadway Capacity</t>
  </si>
  <si>
    <t>Design Year Average Daily Traffic</t>
  </si>
  <si>
    <t>Adjusted Average Daily Traffic</t>
  </si>
  <si>
    <r>
      <t>ADT</t>
    </r>
    <r>
      <rPr>
        <vertAlign val="subscript"/>
        <sz val="11"/>
        <color theme="1"/>
        <rFont val="Calibri"/>
        <family val="2"/>
        <scheme val="minor"/>
      </rPr>
      <t>EXR</t>
    </r>
  </si>
  <si>
    <t>List 13</t>
  </si>
  <si>
    <t>PennDOT Classifications</t>
  </si>
  <si>
    <t>HCM Roadway Type</t>
  </si>
  <si>
    <t>Miscellaneous Added Time from User</t>
  </si>
  <si>
    <r>
      <t>AddTime</t>
    </r>
    <r>
      <rPr>
        <vertAlign val="subscript"/>
        <sz val="11"/>
        <color theme="1"/>
        <rFont val="Calibri"/>
        <family val="2"/>
        <scheme val="minor"/>
      </rPr>
      <t>MISC</t>
    </r>
  </si>
  <si>
    <t>MONETARY INFORMATION</t>
  </si>
  <si>
    <t>Yearly Inflation</t>
  </si>
  <si>
    <t>Overall Inflation</t>
  </si>
  <si>
    <t>Median Annual Household Income</t>
  </si>
  <si>
    <t>Base Value</t>
  </si>
  <si>
    <t>Single-Unit Wages</t>
  </si>
  <si>
    <t>Single-Unit Benefits</t>
  </si>
  <si>
    <t>Single-Unit Total</t>
  </si>
  <si>
    <t>Combination Truck Wages</t>
  </si>
  <si>
    <t>Combination Truck Benefits</t>
  </si>
  <si>
    <t>Combination Truck Total</t>
  </si>
  <si>
    <t>Average Prime Bank Lending</t>
  </si>
  <si>
    <t>Hourly Depreciation Costs</t>
  </si>
  <si>
    <t>Vehicle Operating Costs</t>
  </si>
  <si>
    <t>Monetary Values and Inflation</t>
  </si>
  <si>
    <t>Year</t>
  </si>
  <si>
    <t>Design Value</t>
  </si>
  <si>
    <t>Inflation</t>
  </si>
  <si>
    <t>Price Index</t>
  </si>
  <si>
    <t>Base Index</t>
  </si>
  <si>
    <t>Delays</t>
  </si>
  <si>
    <t>Override would be applicable if existing daily volumes have been measured.</t>
  </si>
  <si>
    <t>Table 24 - Average 
Prime Bank Lending</t>
  </si>
  <si>
    <t>Table 33 - Consumer Price Index</t>
  </si>
  <si>
    <t>Annual Average Price Index</t>
  </si>
  <si>
    <t>"BLS CPI"</t>
  </si>
  <si>
    <t>Consumer Price Index - All Urban Consumers</t>
  </si>
  <si>
    <t>ftp://ftp.bls.gov/pub/special.requests/cpi/cpiai.txt</t>
  </si>
  <si>
    <t>from BLS CPI</t>
  </si>
  <si>
    <t>$/yr</t>
  </si>
  <si>
    <t>Fuel</t>
  </si>
  <si>
    <t>$/gal</t>
  </si>
  <si>
    <r>
      <t>Dep</t>
    </r>
    <r>
      <rPr>
        <vertAlign val="subscript"/>
        <sz val="11"/>
        <color theme="1"/>
        <rFont val="Calibri"/>
        <family val="2"/>
        <scheme val="minor"/>
      </rPr>
      <t>RV</t>
    </r>
  </si>
  <si>
    <t>Roadway Type Encoding</t>
  </si>
  <si>
    <t>HCM Type Code Number</t>
  </si>
  <si>
    <t>Added</t>
  </si>
  <si>
    <t>Liquidated Damages</t>
  </si>
  <si>
    <t>Daily</t>
  </si>
  <si>
    <t>This tab calculates the hourly RULD costs.</t>
  </si>
  <si>
    <t>1-0</t>
  </si>
  <si>
    <t>2-0</t>
  </si>
  <si>
    <t>3-0</t>
  </si>
  <si>
    <t>4-0</t>
  </si>
  <si>
    <t>5-0</t>
  </si>
  <si>
    <t>6-0</t>
  </si>
  <si>
    <t>8-0</t>
  </si>
  <si>
    <t>9-0</t>
  </si>
  <si>
    <t>10-0</t>
  </si>
  <si>
    <t>11-0</t>
  </si>
  <si>
    <t>12-0</t>
  </si>
  <si>
    <r>
      <t>Capacity</t>
    </r>
    <r>
      <rPr>
        <vertAlign val="subscript"/>
        <sz val="11"/>
        <color theme="1"/>
        <rFont val="Calibri"/>
        <family val="2"/>
        <scheme val="minor"/>
      </rPr>
      <t>EX</t>
    </r>
  </si>
  <si>
    <r>
      <t>Capacity</t>
    </r>
    <r>
      <rPr>
        <vertAlign val="subscript"/>
        <sz val="11"/>
        <color theme="1"/>
        <rFont val="Calibri"/>
        <family val="2"/>
        <scheme val="minor"/>
      </rPr>
      <t>TOTAL</t>
    </r>
  </si>
  <si>
    <r>
      <t>Lanes</t>
    </r>
    <r>
      <rPr>
        <vertAlign val="subscript"/>
        <sz val="11"/>
        <color theme="1"/>
        <rFont val="Calibri"/>
        <family val="2"/>
        <scheme val="minor"/>
      </rPr>
      <t>EX</t>
    </r>
    <r>
      <rPr>
        <sz val="11"/>
        <color theme="1"/>
        <rFont val="Calibri"/>
        <family val="2"/>
        <scheme val="minor"/>
      </rPr>
      <t xml:space="preserve"> </t>
    </r>
    <r>
      <rPr>
        <sz val="11"/>
        <color theme="1"/>
        <rFont val="Calibri"/>
        <family val="2"/>
      </rPr>
      <t>× Capacity</t>
    </r>
    <r>
      <rPr>
        <vertAlign val="subscript"/>
        <sz val="11"/>
        <color theme="1"/>
        <rFont val="Calibri"/>
        <family val="2"/>
      </rPr>
      <t>EX</t>
    </r>
  </si>
  <si>
    <r>
      <t xml:space="preserve">Total Delay </t>
    </r>
    <r>
      <rPr>
        <i/>
        <sz val="11"/>
        <color theme="1"/>
        <rFont val="Calibri"/>
        <family val="2"/>
        <scheme val="minor"/>
      </rPr>
      <t>(Includes Decelerating)</t>
    </r>
  </si>
  <si>
    <t>State and County Quickfacts - Pennsylvania</t>
  </si>
  <si>
    <t>PennDOT Publication 601 Table 350</t>
  </si>
  <si>
    <t>PennDOT Publication 601 Table 355</t>
  </si>
  <si>
    <t>Table 17 Reference:</t>
  </si>
  <si>
    <t>Table 21 Reference:</t>
  </si>
  <si>
    <t>*Use 'Transportation and warehousing'</t>
  </si>
  <si>
    <r>
      <t xml:space="preserve">The "Base Year" must reflect the year to which the data in the table is relevant. If a table is not updated, do </t>
    </r>
    <r>
      <rPr>
        <u/>
        <sz val="14"/>
        <color theme="1"/>
        <rFont val="Calibri"/>
        <family val="2"/>
        <scheme val="minor"/>
      </rPr>
      <t>not</t>
    </r>
    <r>
      <rPr>
        <sz val="14"/>
        <color theme="1"/>
        <rFont val="Calibri"/>
        <family val="2"/>
        <scheme val="minor"/>
      </rPr>
      <t xml:space="preserve"> change the Base Year.</t>
    </r>
  </si>
  <si>
    <t>Table 24 Reference:</t>
  </si>
  <si>
    <t>Table 30 Reference:</t>
  </si>
  <si>
    <t>An Analysis of the Operational Costs of Trucking</t>
  </si>
  <si>
    <t>Table 31 Reference:</t>
  </si>
  <si>
    <t>Your Driving Costs</t>
  </si>
  <si>
    <t>http://www.aaa.com</t>
  </si>
  <si>
    <t>Table 32 Reference:</t>
  </si>
  <si>
    <t>Gray Strikethrough</t>
  </si>
  <si>
    <t>Additional Delay</t>
  </si>
  <si>
    <t>Price of Gasoline</t>
  </si>
  <si>
    <t>Price of Diesel</t>
  </si>
  <si>
    <t>Increased Travel Time</t>
  </si>
  <si>
    <t>Average Queue Time</t>
  </si>
  <si>
    <t>Cost Per Vehicle</t>
  </si>
  <si>
    <t>Roadway Capacity per lane</t>
  </si>
  <si>
    <t>veh/hr</t>
  </si>
  <si>
    <t>vehicles</t>
  </si>
  <si>
    <t>feet</t>
  </si>
  <si>
    <t>$/year</t>
  </si>
  <si>
    <t>$</t>
  </si>
  <si>
    <t>Total Vehicles in Queue during Work Zone</t>
  </si>
  <si>
    <t>Total Delay in Queue during Work Zone</t>
  </si>
  <si>
    <t>Average Delay per Vehicle in Queue during Work Zone</t>
  </si>
  <si>
    <t>$/veh-mile</t>
  </si>
  <si>
    <t>The WHITE, RED, and PURPLE tabs are for user entries and review.</t>
  </si>
  <si>
    <t>The BLUE tabs contain basic information and defaults used in calculations, as well as information on their source documents.</t>
  </si>
  <si>
    <t>The BLACK tabs perform internal calculations and may not be altered.</t>
  </si>
  <si>
    <t>Volumes</t>
  </si>
  <si>
    <r>
      <t xml:space="preserve">Line items in </t>
    </r>
    <r>
      <rPr>
        <b/>
        <sz val="11"/>
        <color theme="1"/>
        <rFont val="Calibri"/>
        <family val="2"/>
        <scheme val="minor"/>
      </rPr>
      <t>standard text</t>
    </r>
    <r>
      <rPr>
        <sz val="11"/>
        <color theme="1"/>
        <rFont val="Calibri"/>
        <family val="2"/>
        <scheme val="minor"/>
      </rPr>
      <t xml:space="preserve"> are available for use but not required. If left blank, default values are assumed.</t>
    </r>
  </si>
  <si>
    <t>Color-Code</t>
  </si>
  <si>
    <t>Column Descriptions</t>
  </si>
  <si>
    <t xml:space="preserve">There are two options for determining data to be used for the project: </t>
  </si>
  <si>
    <t>The value to be used in calculations is shown in the yellow boxes to the right.</t>
  </si>
  <si>
    <t>Beginning in the "Roadway Information" section, there are two ways to enter data:</t>
  </si>
  <si>
    <t>Normally, use the 'Both Directions' column for entering data.</t>
  </si>
  <si>
    <t>If project-specific conditions result in different values for each direction, use the respective Direction columns to enter the data.</t>
  </si>
  <si>
    <t>Black Tabs</t>
  </si>
  <si>
    <t>The tabs shaded black contain internal calculations. They are available for review and inspection but cannot be changed.</t>
  </si>
  <si>
    <t>This tab allows default tabular values to be overridden in favor or project-specific values.
The values in white cells are the default values that will be used in the calculations unless and override is provided in the red override box.</t>
  </si>
  <si>
    <t>Hourly Business Travel Cost</t>
  </si>
  <si>
    <t>*Single-Unit = Occupation Code 53-3033; Light Truck or Delivery Services Driver (use MEDIAN value)</t>
  </si>
  <si>
    <t>*Combination = Occupation Code 53-3032; Heavy and Tractor-Trailer Truck Drivers (use MEDIAN value)</t>
  </si>
  <si>
    <t>Entry Box Legend</t>
  </si>
  <si>
    <t>Construction Year</t>
  </si>
  <si>
    <t>Use the 'Overrides' tab to change default values that are not part of the 'Input' tab.</t>
  </si>
  <si>
    <t>Always verify your entries or non-entries by reviewing the yellow "Values used in calculations" columns.</t>
  </si>
  <si>
    <t>'By Direction' has priority over 'Both Directions.'</t>
  </si>
  <si>
    <t>This tab contains information on this worksheet and directions on how to use it.</t>
  </si>
  <si>
    <t>This is the main tab to be used and accepts all basic inputs.</t>
  </si>
  <si>
    <t>This tab allows the user to enter project-specific values to override certain default values.</t>
  </si>
  <si>
    <t>This tab contains all the lists used in the worksheet.</t>
  </si>
  <si>
    <t>This tab contains all  the tables used in the worksheet.</t>
  </si>
  <si>
    <t>This tab cites all of the references used in developing this worksheet.</t>
  </si>
  <si>
    <t>This tab establishes the values to be used in calculations based on defaults, user inputs, and overrides.</t>
  </si>
  <si>
    <t>This tab calculates and ensures consistency of traffic volumes by class, hour, path, and direction.</t>
  </si>
  <si>
    <t>This tab calculates time delays for the various route alternatives.</t>
  </si>
  <si>
    <t>This tab calculates queuing delay.</t>
  </si>
  <si>
    <t>This tab calculates costs.</t>
  </si>
  <si>
    <t>This tab calculates the RULD values by class, hour, path, and direction as well as the overall totals.</t>
  </si>
  <si>
    <t>This tab is only used by the designer or caretaker for annual updates to default values.</t>
  </si>
  <si>
    <r>
      <rPr>
        <b/>
        <sz val="11"/>
        <color theme="1"/>
        <rFont val="Calibri"/>
        <family val="2"/>
        <scheme val="minor"/>
      </rPr>
      <t>White boxes</t>
    </r>
    <r>
      <rPr>
        <sz val="11"/>
        <color theme="1"/>
        <rFont val="Calibri"/>
        <family val="2"/>
        <scheme val="minor"/>
      </rPr>
      <t xml:space="preserve"> are primary entry cells that require the user to input data.</t>
    </r>
  </si>
  <si>
    <r>
      <rPr>
        <b/>
        <sz val="11"/>
        <color theme="1"/>
        <rFont val="Calibri"/>
        <family val="2"/>
        <scheme val="minor"/>
      </rPr>
      <t xml:space="preserve">Blue boxes </t>
    </r>
    <r>
      <rPr>
        <sz val="11"/>
        <color theme="1"/>
        <rFont val="Calibri"/>
        <family val="2"/>
        <scheme val="minor"/>
      </rPr>
      <t>are primary entry cells that require the user to choose an option from a drop-down menu.</t>
    </r>
  </si>
  <si>
    <r>
      <rPr>
        <b/>
        <sz val="11"/>
        <color theme="1"/>
        <rFont val="Calibri"/>
        <family val="2"/>
        <scheme val="minor"/>
      </rPr>
      <t>Red boxes</t>
    </r>
    <r>
      <rPr>
        <sz val="11"/>
        <color theme="1"/>
        <rFont val="Calibri"/>
        <family val="2"/>
        <scheme val="minor"/>
      </rPr>
      <t xml:space="preserve"> are secondary entry cells used to enter override values if project-specific information is available.</t>
    </r>
  </si>
  <si>
    <r>
      <rPr>
        <b/>
        <sz val="11"/>
        <color theme="1"/>
        <rFont val="Calibri"/>
        <family val="2"/>
        <scheme val="minor"/>
      </rPr>
      <t>Orange boxes</t>
    </r>
    <r>
      <rPr>
        <sz val="11"/>
        <color theme="1"/>
        <rFont val="Calibri"/>
        <family val="2"/>
        <scheme val="minor"/>
      </rPr>
      <t xml:space="preserve"> are used to apply custom labels and headings, where available.</t>
    </r>
  </si>
  <si>
    <r>
      <rPr>
        <b/>
        <sz val="11"/>
        <color theme="1"/>
        <rFont val="Calibri"/>
        <family val="2"/>
        <scheme val="minor"/>
      </rPr>
      <t>Green boxes</t>
    </r>
    <r>
      <rPr>
        <sz val="11"/>
        <color theme="1"/>
        <rFont val="Calibri"/>
        <family val="2"/>
        <scheme val="minor"/>
      </rPr>
      <t xml:space="preserve"> are default values and cannot be changed.</t>
    </r>
  </si>
  <si>
    <r>
      <rPr>
        <b/>
        <sz val="11"/>
        <color theme="1"/>
        <rFont val="Calibri"/>
        <family val="2"/>
        <scheme val="minor"/>
      </rPr>
      <t>Gray boxes</t>
    </r>
    <r>
      <rPr>
        <sz val="11"/>
        <color theme="1"/>
        <rFont val="Calibri"/>
        <family val="2"/>
        <scheme val="minor"/>
      </rPr>
      <t xml:space="preserve"> are headings and cannot be changed.</t>
    </r>
  </si>
  <si>
    <r>
      <rPr>
        <b/>
        <sz val="11"/>
        <color theme="1"/>
        <rFont val="Calibri"/>
        <family val="2"/>
        <scheme val="minor"/>
      </rPr>
      <t>Yellow boxes</t>
    </r>
    <r>
      <rPr>
        <sz val="11"/>
        <color theme="1"/>
        <rFont val="Calibri"/>
        <family val="2"/>
        <scheme val="minor"/>
      </rPr>
      <t xml:space="preserve"> show the values that will be used in calculations.</t>
    </r>
  </si>
  <si>
    <r>
      <rPr>
        <b/>
        <sz val="11"/>
        <color theme="1"/>
        <rFont val="Calibri"/>
        <family val="2"/>
        <scheme val="minor"/>
      </rPr>
      <t>Dark Red with Yellow Text boxes</t>
    </r>
    <r>
      <rPr>
        <sz val="11"/>
        <color theme="1"/>
        <rFont val="Calibri"/>
        <family val="2"/>
        <scheme val="minor"/>
      </rPr>
      <t xml:space="preserve"> may appear on the far right if there is an error.</t>
    </r>
  </si>
  <si>
    <t>Assumed values in red</t>
  </si>
  <si>
    <t>Spacing assumed for stationary traffic queue</t>
  </si>
  <si>
    <t>Assumed value in red</t>
  </si>
  <si>
    <t>From PennDOT PUB 601 (8-12) Table 350
(corrected to sum 100%)</t>
  </si>
  <si>
    <t>Table 21 - Median Annual Household Income (Penna.)</t>
  </si>
  <si>
    <t>Table 21 - Median Annual Household Income
for Pennsylvania</t>
  </si>
  <si>
    <t>Table 23 - Average Vehicle Occupancy
(persons/vehicle)</t>
  </si>
  <si>
    <t>Right-Side Lateral Clearance (ft)</t>
  </si>
  <si>
    <t>HCMType</t>
  </si>
  <si>
    <t>* Depreciation from HERS-ST; include updates if available</t>
  </si>
  <si>
    <t>Driver Compensation</t>
  </si>
  <si>
    <t>Cars on Business Wages</t>
  </si>
  <si>
    <t>Cars on Business Benefits</t>
  </si>
  <si>
    <t>Cars on Business Total</t>
  </si>
  <si>
    <t>Cars on Business</t>
  </si>
  <si>
    <t>Table 22 - Driver Compensation in Pennsylvania</t>
  </si>
  <si>
    <t>Table 33 Reference:</t>
  </si>
  <si>
    <t>*Cars on Business Travel = ECEC Table 1 for All Civilian Workers</t>
  </si>
  <si>
    <t>Table 22 Reference (Benefits for Single-Unit and Combination):</t>
  </si>
  <si>
    <t>Table 22 Reference (Wages for All; Benefits for Cars):</t>
  </si>
  <si>
    <t>Truck benefits from BLS ECEC</t>
  </si>
  <si>
    <t>Truck wages from BLS Wage Estimates</t>
  </si>
  <si>
    <t>Cars wages and benefits from BLS ECEC</t>
  </si>
  <si>
    <t>Table 22 - Driver Compensation</t>
  </si>
  <si>
    <t>Table 34 - Implicit Price Deflators</t>
  </si>
  <si>
    <t>Table 34 - Implicit Price Deflators for GDP</t>
  </si>
  <si>
    <t>Table 34 Reference:</t>
  </si>
  <si>
    <t>United States Bureau of Economic Analysis</t>
  </si>
  <si>
    <t>National Income and Product Account (NIPA)</t>
  </si>
  <si>
    <t>Implicit Price Deflators for Gross Domestic Product-Goods</t>
  </si>
  <si>
    <t>Table 1.1.9 Line 1</t>
  </si>
  <si>
    <t>http://www.bea.gov/iTable/index_nipa.cfm</t>
  </si>
  <si>
    <t>from BEA NIPA</t>
  </si>
  <si>
    <t>"BEA NIPA"</t>
  </si>
  <si>
    <t>Passenger Cars (small)</t>
  </si>
  <si>
    <t>Passenger Cars (medium)</t>
  </si>
  <si>
    <t>Table 35 - Producer Price Index</t>
  </si>
  <si>
    <t>Small Auto</t>
  </si>
  <si>
    <t>Large Auto</t>
  </si>
  <si>
    <t>3 Axle CT</t>
  </si>
  <si>
    <t>3-4 Axle</t>
  </si>
  <si>
    <t>5+ Axle</t>
  </si>
  <si>
    <t>Item#</t>
  </si>
  <si>
    <t>from BLS PPI</t>
  </si>
  <si>
    <t>Table 35 Reference:</t>
  </si>
  <si>
    <t>Producer Price Indexes</t>
  </si>
  <si>
    <t>"BLS PPI"</t>
  </si>
  <si>
    <t>Producer Price Index - Commodity Data for Transportation Equipment</t>
  </si>
  <si>
    <t>http://www.bls.gov/web/ppi/ppitable06.pdf</t>
  </si>
  <si>
    <t>Table 6 - Commodity Data for Transportation Equipment</t>
  </si>
  <si>
    <t>Existing Number of Lanes</t>
  </si>
  <si>
    <t>Existing Lane Width</t>
  </si>
  <si>
    <t>Existing Right-Side Lateral Clearance</t>
  </si>
  <si>
    <t>Existing Left-Side Lateral Clearance</t>
  </si>
  <si>
    <t>Existing Total Ramp Density</t>
  </si>
  <si>
    <t>Existing Total Capacity</t>
  </si>
  <si>
    <t>Work-Zone Length</t>
  </si>
  <si>
    <t>Work-Zone Number of Lanes</t>
  </si>
  <si>
    <t>Work-Zone Lane Width</t>
  </si>
  <si>
    <t>Work-Zone Starting Time</t>
  </si>
  <si>
    <t>Work-Zone Ending Time</t>
  </si>
  <si>
    <t>Work-Zone Duration</t>
  </si>
  <si>
    <t>Work-Zone Total Capacity</t>
  </si>
  <si>
    <t>FLAGGING / SIGNAL INFORMATION</t>
  </si>
  <si>
    <t>none</t>
  </si>
  <si>
    <t>Flagging / Signal Cycle Length</t>
  </si>
  <si>
    <t>Additional Delay for Passenger Cars</t>
  </si>
  <si>
    <t>Additional Delay for Single-Unit Trucks</t>
  </si>
  <si>
    <t>Additional Delay for Combination Trucks</t>
  </si>
  <si>
    <t>Additional Delay for Recreational Vehicles</t>
  </si>
  <si>
    <t>Hourly Delay Cost for Passenger Vehicles</t>
  </si>
  <si>
    <t>Hourly Delay Cost for Recreational Vehicles</t>
  </si>
  <si>
    <t>Hourly Delay Cost for Single-Unit Trucks</t>
  </si>
  <si>
    <t>Hourly Delay Cost for Combination Trucks</t>
  </si>
  <si>
    <t>Hourly Idling Cost for Passenger Vehicles</t>
  </si>
  <si>
    <t>Hourly Idling Cost for Single-Unit Trucks</t>
  </si>
  <si>
    <t>Hourly Idling Cost for Combination Trucks</t>
  </si>
  <si>
    <t>Hourly Idling Cost for Recreational Vehicles</t>
  </si>
  <si>
    <t>Hourly Operating Cost for Passenger Vehicles</t>
  </si>
  <si>
    <t>Hourly Operating Cost for Single-Unit Trucks</t>
  </si>
  <si>
    <t>Hourly Operating Cost for Combination Trucks</t>
  </si>
  <si>
    <t>Hourly Operating Cost for Recreational Vehicles</t>
  </si>
  <si>
    <t>Operating Cost per Mile for Passenger Vehicles</t>
  </si>
  <si>
    <t>Operating Cost per Mile for Single-Unit Trucks</t>
  </si>
  <si>
    <t>Operating Cost per Mile for Combination Trucks</t>
  </si>
  <si>
    <t>Operating Cost per Mile for Recreational Vehicles</t>
  </si>
  <si>
    <t>Cost Per Vehicle in Work zone</t>
  </si>
  <si>
    <t>Cost Per Vehicle in Queue</t>
  </si>
  <si>
    <t>Cost Per Vehicle in Flagging</t>
  </si>
  <si>
    <t>Percent Single-Unit Trucks</t>
  </si>
  <si>
    <t>Percent Combination Trucks</t>
  </si>
  <si>
    <t>Single-Unit Truck Relative Percentage</t>
  </si>
  <si>
    <t>Combination Truck Relative Percentage</t>
  </si>
  <si>
    <t>Month of Data Collection</t>
  </si>
  <si>
    <t>Average Vehicle Occupancy - Single-Unit Trucks</t>
  </si>
  <si>
    <t>Average Vehicle Occupancy - Combination Trucks</t>
  </si>
  <si>
    <t>Average Vehicle Occupancy - Personal Travel</t>
  </si>
  <si>
    <t>Average Vehicle Occupancy - Business Travel</t>
  </si>
  <si>
    <t>Hourly Distribution 12:00 AM</t>
  </si>
  <si>
    <t>Hourly Distribution 01:00 AM</t>
  </si>
  <si>
    <t>Hourly Distribution 03:00 AM</t>
  </si>
  <si>
    <t>Hourly Distribution 02:00 AM</t>
  </si>
  <si>
    <t>Hourly Distribution 04:00 AM</t>
  </si>
  <si>
    <t>Hourly Distribution 05:00 AM</t>
  </si>
  <si>
    <t>Hourly Distribution 06:00 AM</t>
  </si>
  <si>
    <t>Hourly Distribution 07:00 AM</t>
  </si>
  <si>
    <t>Hourly Distribution 08:00 AM</t>
  </si>
  <si>
    <t>Hourly Distribution 09:00 AM</t>
  </si>
  <si>
    <t>Hourly Distribution 10:00 AM</t>
  </si>
  <si>
    <t>Hourly Distribution 11:00 AM</t>
  </si>
  <si>
    <t>Hourly Distribution 12:00 PM</t>
  </si>
  <si>
    <t>Hourly Distribution 01:00 PM</t>
  </si>
  <si>
    <t>Hourly Distribution 02:00 PM</t>
  </si>
  <si>
    <t>Hourly Distribution 03:00 PM</t>
  </si>
  <si>
    <t>Hourly Distribution 04:00 PM</t>
  </si>
  <si>
    <t>Hourly Distribution 05:00 PM</t>
  </si>
  <si>
    <t>Hourly Distribution 06:00 PM</t>
  </si>
  <si>
    <t>Hourly Distribution 07:00 PM</t>
  </si>
  <si>
    <t>Hourly Distribution 08:00 PM</t>
  </si>
  <si>
    <t>Hourly Distribution 09:00 PM</t>
  </si>
  <si>
    <t>Hourly Distribution 10:00 PM</t>
  </si>
  <si>
    <t>Hourly Distribution 11:00 PM</t>
  </si>
  <si>
    <t>Project Information</t>
  </si>
  <si>
    <t>Monetary Information</t>
  </si>
  <si>
    <t>Roadway Information</t>
  </si>
  <si>
    <t>Traffic Information</t>
  </si>
  <si>
    <t>Work-Zone Information</t>
  </si>
  <si>
    <t>Hourly
Traffic Distribution Factors</t>
  </si>
  <si>
    <t>Monetary Factors</t>
  </si>
  <si>
    <t>Cost of Fuel</t>
  </si>
  <si>
    <t>Average
Vehicle Occupancy</t>
  </si>
  <si>
    <t>Delay Costs</t>
  </si>
  <si>
    <t>Idling Costs</t>
  </si>
  <si>
    <t>Operating Costs per Hour</t>
  </si>
  <si>
    <t>Operating Costs per Mile</t>
  </si>
  <si>
    <t>Increased Delay</t>
  </si>
  <si>
    <t>Category</t>
  </si>
  <si>
    <t>--</t>
  </si>
  <si>
    <t>Existing Access-Point Density</t>
  </si>
  <si>
    <t>access-points/mile</t>
  </si>
  <si>
    <t>Relative %</t>
  </si>
  <si>
    <t>persons / veh</t>
  </si>
  <si>
    <t>Work-Zone In-Place Hours</t>
  </si>
  <si>
    <t>During Work-Zone Hours</t>
  </si>
  <si>
    <t>d</t>
  </si>
  <si>
    <t>U</t>
  </si>
  <si>
    <t>c</t>
  </si>
  <si>
    <r>
      <t xml:space="preserve">d </t>
    </r>
    <r>
      <rPr>
        <i/>
        <sz val="11"/>
        <rFont val="Calibri"/>
        <family val="2"/>
        <scheme val="minor"/>
      </rPr>
      <t>= Default value used for this item</t>
    </r>
  </si>
  <si>
    <r>
      <t xml:space="preserve"># </t>
    </r>
    <r>
      <rPr>
        <i/>
        <sz val="11"/>
        <rFont val="Calibri"/>
        <family val="2"/>
        <scheme val="minor"/>
      </rPr>
      <t>= Override value used for this item</t>
    </r>
  </si>
  <si>
    <t>User entry is required</t>
  </si>
  <si>
    <t>Variable is not applicable</t>
  </si>
  <si>
    <t>User data entry (typed)</t>
  </si>
  <si>
    <t>User data entry (drop-down)</t>
  </si>
  <si>
    <t>User data entry (override)</t>
  </si>
  <si>
    <t>User customizable labels</t>
  </si>
  <si>
    <t>Default values (unalterable)</t>
  </si>
  <si>
    <t>Headers (unalterable)</t>
  </si>
  <si>
    <t>ROAD USERS LIQUIDATED DAMAGES INPUT WORKSHEET</t>
  </si>
  <si>
    <t>Segment
Length</t>
  </si>
  <si>
    <t>Road Users Liquidated Damages</t>
  </si>
  <si>
    <t>DELAY</t>
  </si>
  <si>
    <t>(no factor)</t>
  </si>
  <si>
    <t>REPORT</t>
  </si>
  <si>
    <t>AADT</t>
  </si>
  <si>
    <t>Flagging / Temporary Signal</t>
  </si>
  <si>
    <t>Lane Closure</t>
  </si>
  <si>
    <t>Detour(s)</t>
  </si>
  <si>
    <t>Functional Classification</t>
  </si>
  <si>
    <t>Date</t>
  </si>
  <si>
    <t>Approved</t>
  </si>
  <si>
    <t>Report</t>
  </si>
  <si>
    <t>During Work-Zone Duration</t>
  </si>
  <si>
    <t>User Costs for Project Duration</t>
  </si>
  <si>
    <t>Contract Amount</t>
  </si>
  <si>
    <t>Table 1B - PennDOT Classification to HCM Type</t>
  </si>
  <si>
    <t>Traffic Pattern Group</t>
  </si>
  <si>
    <t>Urban Interstate and Other Limited Access Freeways</t>
  </si>
  <si>
    <t>Rural Interstate and Other Limited Access Freeways</t>
  </si>
  <si>
    <t>Urban Principal Arterials</t>
  </si>
  <si>
    <t>Rural Principal Arterials</t>
  </si>
  <si>
    <t>Urban Minor Arterials</t>
  </si>
  <si>
    <t>Rural Minor Arterials</t>
  </si>
  <si>
    <t>Urban Collectors</t>
  </si>
  <si>
    <t>Rural Minor Collectors</t>
  </si>
  <si>
    <t>Rural Major Collectors</t>
  </si>
  <si>
    <t>Urban Local Roads</t>
  </si>
  <si>
    <t>Rural Local Roads</t>
  </si>
  <si>
    <t>Urban - Other Principal Arterials</t>
  </si>
  <si>
    <t>Rural - Other Principal Arterials</t>
  </si>
  <si>
    <t>Urban - Minor Arterials, Collectors, Local Roads</t>
  </si>
  <si>
    <t>Central Rural - Collectors and Local Roads</t>
  </si>
  <si>
    <t>North Rural - Minor Arterials</t>
  </si>
  <si>
    <t>Central Rural - Minor Arterials</t>
  </si>
  <si>
    <t>North Rural - Collectors and Local Roads</t>
  </si>
  <si>
    <t>(none)</t>
  </si>
  <si>
    <t>Table 1A - PennDOT Function Classification to Traffic Pattern Group Translation</t>
  </si>
  <si>
    <t>#</t>
  </si>
  <si>
    <t>Traffic Pattern Group Code Number</t>
  </si>
  <si>
    <t>PennDOT Functional Classification Encoding</t>
  </si>
  <si>
    <t>PennDOT Traffic Pattern Group Encoding</t>
  </si>
  <si>
    <t>PennDOT Functional Classification</t>
  </si>
  <si>
    <t>Title</t>
  </si>
  <si>
    <t>Total Vehicle Count through Work Zone</t>
  </si>
  <si>
    <t>Average Stop / Red Duration</t>
  </si>
  <si>
    <t>Functional Classification:</t>
  </si>
  <si>
    <t>Total Inflation</t>
  </si>
  <si>
    <t>Errors &amp; Warnings</t>
  </si>
  <si>
    <t>Error Check</t>
  </si>
  <si>
    <t>Traffic Volume By Path</t>
  </si>
  <si>
    <t>Road Users Liquidated Damages
 - 
Total</t>
  </si>
  <si>
    <t>Road Users Liquidated Damages
 - 
Work Zone</t>
  </si>
  <si>
    <t>Road Users Liquidated Damages
-</t>
  </si>
  <si>
    <t>This tab provides instructions on how to use this worksheet.</t>
  </si>
  <si>
    <t>The YELLOW tab contains information and instructions to review prior to beginning work in this worksheet.</t>
  </si>
  <si>
    <t>The ORANGE tab is for use by PennDOT Central Office for annual updates to certain factors used in the worksheet.</t>
  </si>
  <si>
    <t>This section is only when project conditions include significant miscellaneous delay that is not accounted for in the worksheet (such as work-zones in heavy weaving areas)</t>
  </si>
  <si>
    <t>This tab presents all of the lists used in this worksheet. These lists are used to create the selections available in the drop-down menus.</t>
  </si>
  <si>
    <t>This tab presents all of the tables used for calculations in this worksheet and lists their source document.
Blue tables (top half of sheet) are used for volume calculations. Green tables (bottom half of sheet) are used for cost calculations.
Some tables are updated annually through the "Updater" tab. Some table values may be overridden on a case-by-case basis through the "Overrides" tab.
Tables with a 'Base Year' are inflated in the 'Values' tab if the base year is not the current year</t>
  </si>
  <si>
    <t>Translations assumed for this worksheet</t>
  </si>
  <si>
    <t>Source unknown; used in previous RULD worksheet</t>
  </si>
  <si>
    <t>This tab lists all of the references used to compile the methodology and values used for this worksheet.</t>
  </si>
  <si>
    <t>This tab calculates the delays due to queuing at the work zone.
The work zone is assumed to be in place all day.
worksheet assumes that there is no existing queue without the work-zone in place.</t>
  </si>
  <si>
    <t>Construction Year Volume</t>
  </si>
  <si>
    <t>Annual Average Daily Traffic</t>
  </si>
  <si>
    <t>WORKSHEET DESCRIPTION</t>
  </si>
  <si>
    <r>
      <t xml:space="preserve">c </t>
    </r>
    <r>
      <rPr>
        <i/>
        <sz val="11"/>
        <rFont val="Calibri"/>
        <family val="2"/>
        <scheme val="minor"/>
      </rPr>
      <t>= Calculated value used for this item</t>
    </r>
  </si>
  <si>
    <t>Existing Median Type</t>
  </si>
  <si>
    <t>This worksheet is used to calculate the Road User Liquidated Damages occurring as a result of work zone activity.</t>
  </si>
  <si>
    <t>Table 18 Reference:</t>
  </si>
  <si>
    <t>Monetary Information Defaults (INPUT tab) Reference:</t>
  </si>
  <si>
    <t>PennDOT Central Office</t>
  </si>
  <si>
    <t>Detour Names</t>
  </si>
  <si>
    <t>vehicles / hour</t>
  </si>
  <si>
    <t>a-ps/mi</t>
  </si>
  <si>
    <t>Road Users Liquidated Damages (RULDs) are an estimate of the cost to the traveling public as a result of delays caused by unscheduled work zone activity.</t>
  </si>
  <si>
    <r>
      <t>This tab presents a list of all inputs and outputs for checking and backup.</t>
    </r>
    <r>
      <rPr>
        <i/>
        <sz val="11"/>
        <color theme="1"/>
        <rFont val="Calibri"/>
        <family val="2"/>
        <scheme val="minor"/>
      </rPr>
      <t xml:space="preserve"> (Formatted for printing)</t>
    </r>
  </si>
  <si>
    <r>
      <t xml:space="preserve">This tab presents a summary of critical inputs and outputs for review and approval. </t>
    </r>
    <r>
      <rPr>
        <i/>
        <sz val="11"/>
        <color theme="1"/>
        <rFont val="Calibri"/>
        <family val="2"/>
        <scheme val="minor"/>
      </rPr>
      <t>(Formatted for printing)</t>
    </r>
  </si>
  <si>
    <t>2. Review values in yellow "Values Used In Calculations" columns.</t>
  </si>
  <si>
    <t>3. Print results from "Report" and "Summary" tabs.</t>
  </si>
  <si>
    <t>How to Enter and Calculate RULDs</t>
  </si>
  <si>
    <t>1. Enter project information and data into the white "Input" tab.</t>
  </si>
  <si>
    <t xml:space="preserve"> - User-Entered Values</t>
  </si>
  <si>
    <t xml:space="preserve"> - Default / Calculated Values</t>
  </si>
  <si>
    <t>Default / Calculated values are used if the User-Entered Values column is left blank, provided that user input is not required.</t>
  </si>
  <si>
    <t xml:space="preserve"> - Both Directions</t>
  </si>
  <si>
    <t xml:space="preserve"> - By Direction</t>
  </si>
  <si>
    <t>Report &amp; Summary</t>
  </si>
  <si>
    <t>The "Report" tab shows all the inputs and outputs and can be used for checking and as back-up.</t>
  </si>
  <si>
    <t>Once all data entry has been completed, the road users liquidated damages (RULD) will be presented on the "Summary" tab in bold.</t>
  </si>
  <si>
    <t>Further, more-detailed instructions are available in the RULD Guidebook.</t>
  </si>
  <si>
    <t>Operations</t>
  </si>
  <si>
    <t>Project Duration</t>
  </si>
  <si>
    <t>These are the only tabs needed for users to calculate RULDs.</t>
  </si>
  <si>
    <t>Queue Exists</t>
  </si>
  <si>
    <r>
      <t xml:space="preserve">U </t>
    </r>
    <r>
      <rPr>
        <i/>
        <sz val="11"/>
        <rFont val="Calibri"/>
        <family val="2"/>
      </rPr>
      <t>= User-entered value used for this item</t>
    </r>
  </si>
  <si>
    <t>This is worksheet version</t>
  </si>
  <si>
    <t>seconds</t>
  </si>
  <si>
    <t>http://www.bls.gov/oes/current/oes_pa.htm</t>
  </si>
  <si>
    <t>http://www.bls.gov/news.release/ecec.t01.htm</t>
  </si>
  <si>
    <t>AAA "Your Driving Costs"</t>
  </si>
  <si>
    <t>Is All Traffic Detoured Around Work Zone?</t>
  </si>
  <si>
    <t>AAA gas Prices: Pennsylvania Average Gas Prices</t>
  </si>
  <si>
    <t>http://gasprices.aaa.com/?state=PA</t>
  </si>
  <si>
    <t>Project Name</t>
  </si>
  <si>
    <t>Scenario Description</t>
  </si>
  <si>
    <t>Length of Lane Closure Taper for Queue Merge</t>
  </si>
  <si>
    <t>Delay*</t>
  </si>
  <si>
    <t>* Formula 8.8 from Research Report ICT-10-075 "Queue and User's Cost in Highway Work Zones", Benekohal, Ramezani, and Avrenli; September 2010.</t>
  </si>
  <si>
    <t>Queued</t>
  </si>
  <si>
    <t>~~HIDE~~</t>
  </si>
  <si>
    <t>Table 4B - Adjustment to Free Flow Speed for Left Shoulder Clearance</t>
  </si>
  <si>
    <t>Left Shoulder Width (ft)</t>
  </si>
  <si>
    <t>"Queue"</t>
  </si>
  <si>
    <t>Queue and User's Cost In Highway Work Zones</t>
  </si>
  <si>
    <t>Illinois Center for Transportation</t>
  </si>
  <si>
    <t>Benekohal, Rahim F., Hani Ramezani, and Kivanc A. Avrenli</t>
  </si>
  <si>
    <t>University of Illinois Urbana Champaign</t>
  </si>
  <si>
    <t>Research Report ICT-10-075</t>
  </si>
  <si>
    <t>ISSN: 0197-9191</t>
  </si>
  <si>
    <t>UILU-ENG-2010-2016</t>
  </si>
  <si>
    <t>From Queue, Table 7-2, p65</t>
  </si>
  <si>
    <t>List 14</t>
  </si>
  <si>
    <t>Left-Side Lateral Clearance - Work Zones</t>
  </si>
  <si>
    <t>Work Intensity</t>
  </si>
  <si>
    <t>List 15</t>
  </si>
  <si>
    <t>Work Zone Intensity</t>
  </si>
  <si>
    <t>LOW</t>
  </si>
  <si>
    <t>MODERATE</t>
  </si>
  <si>
    <t>HIGH</t>
  </si>
  <si>
    <t>From Queue, Tables 7-5 and 7-6, pg67</t>
  </si>
  <si>
    <t>Work Zone Speed</t>
  </si>
  <si>
    <t>Work Zone Right-Side Lateral Clearance</t>
  </si>
  <si>
    <t>Work Zone Left-Side Lateral Clearance</t>
  </si>
  <si>
    <r>
      <t>RSLC</t>
    </r>
    <r>
      <rPr>
        <vertAlign val="subscript"/>
        <sz val="11"/>
        <color theme="1"/>
        <rFont val="Calibri"/>
        <family val="2"/>
        <scheme val="minor"/>
      </rPr>
      <t>WZ</t>
    </r>
  </si>
  <si>
    <r>
      <t>LSLC</t>
    </r>
    <r>
      <rPr>
        <vertAlign val="subscript"/>
        <sz val="11"/>
        <color theme="1"/>
        <rFont val="Calibri"/>
        <family val="2"/>
        <scheme val="minor"/>
      </rPr>
      <t>WZ</t>
    </r>
  </si>
  <si>
    <t>Intensity</t>
  </si>
  <si>
    <t>Work Zone Lane Width Factor</t>
  </si>
  <si>
    <t>Work Zone Right-Side Lateral Clearance Factor</t>
  </si>
  <si>
    <t>Work Zone Left-Side Lateral Clearance Factor</t>
  </si>
  <si>
    <t>Work Zone Intensity Factor</t>
  </si>
  <si>
    <t>Work Zone Base Free-Flow Speed</t>
  </si>
  <si>
    <r>
      <t>BFFS</t>
    </r>
    <r>
      <rPr>
        <vertAlign val="subscript"/>
        <sz val="11"/>
        <color theme="1"/>
        <rFont val="Calibri"/>
        <family val="2"/>
        <scheme val="minor"/>
      </rPr>
      <t>WZ</t>
    </r>
  </si>
  <si>
    <t>Table 36 - Speed Reduction due to Work Zone Intensity</t>
  </si>
  <si>
    <t>Short Term Work Zone</t>
  </si>
  <si>
    <t>Long Term Work Zone</t>
  </si>
  <si>
    <t>Work-Zone Right-Side Lateral Clearance</t>
  </si>
  <si>
    <t>Work-Zone Left-Side Lateral Clearance</t>
  </si>
  <si>
    <t>Work-Zone Work Intensity</t>
  </si>
  <si>
    <t>Work-Zone Base Free-Flow Speed</t>
  </si>
  <si>
    <t>Base Work Zone Speed</t>
  </si>
  <si>
    <t>(existing, max: 2)</t>
  </si>
  <si>
    <t>Your Driving Costs, 2017 Edition</t>
  </si>
  <si>
    <t>http://exchange.aaa.com/wp-content/uploads/2017/08/17-0013_Your-Driving-Costs-Brochure-2017-FNL-CX-1.pdf</t>
  </si>
  <si>
    <t>An Analysis of the Operational Costs of Trucking: 2017 Update</t>
  </si>
  <si>
    <t>http://atri-online.org/wp-content/uploads/2017/10/ATRI-Operational-Costs-of-Trucking-2017-10-2017.pdf</t>
  </si>
  <si>
    <t>2016 Pennsylvania Traffic Data</t>
  </si>
  <si>
    <t>PUB 601 (8-17)</t>
  </si>
  <si>
    <t>22 February 2018</t>
  </si>
  <si>
    <t>Selected Interest Rates (Daily) - H.15</t>
  </si>
  <si>
    <t>http://www.federalreserve.gov/releases/h15/</t>
  </si>
  <si>
    <t>https://www.census.gov/quickfacts/fact/table/pa/PST045217</t>
  </si>
  <si>
    <t>1 July 2017</t>
  </si>
  <si>
    <t>State Occupational Employment and Wage Estimates - Pennsylvania</t>
  </si>
  <si>
    <t>May 2016</t>
  </si>
  <si>
    <t>https://www.bls.gov/news.release/ppi.t06.htm</t>
  </si>
  <si>
    <t>January 2018</t>
  </si>
  <si>
    <t>December 2016</t>
  </si>
  <si>
    <t>* As of 2018, the "tires" cost is included in "repairs"</t>
  </si>
  <si>
    <t>https://truckingresearch.org/</t>
  </si>
  <si>
    <t>https://www.census.gov/quickfacts/pa</t>
  </si>
  <si>
    <t>https://www.bls.gov/news.release/cpi.t01.htm</t>
  </si>
  <si>
    <t>Sheet last updated 05/24/2019</t>
  </si>
  <si>
    <t>1411-01</t>
  </si>
  <si>
    <t>1411-05</t>
  </si>
  <si>
    <t>1414-06</t>
  </si>
  <si>
    <t>Commodity code</t>
  </si>
  <si>
    <r>
      <t xml:space="preserve">Line items shown in </t>
    </r>
    <r>
      <rPr>
        <b/>
        <sz val="11"/>
        <color theme="1"/>
        <rFont val="Calibri"/>
        <family val="2"/>
        <scheme val="minor"/>
      </rPr>
      <t>bold, red with an exclamation point (!)</t>
    </r>
    <r>
      <rPr>
        <sz val="11"/>
        <color theme="1"/>
        <rFont val="Calibri"/>
        <family val="2"/>
        <scheme val="minor"/>
      </rPr>
      <t xml:space="preserve"> are required for the worksheet to function. (</t>
    </r>
    <r>
      <rPr>
        <b/>
        <sz val="11"/>
        <color rgb="FFFF0000"/>
        <rFont val="Calibri"/>
        <family val="2"/>
        <scheme val="minor"/>
      </rPr>
      <t>TEXT</t>
    </r>
    <r>
      <rPr>
        <sz val="11"/>
        <color theme="1"/>
        <rFont val="Calibri"/>
        <family val="2"/>
        <scheme val="minor"/>
      </rPr>
      <t>)</t>
    </r>
  </si>
  <si>
    <r>
      <t xml:space="preserve">Line items shown in </t>
    </r>
    <r>
      <rPr>
        <b/>
        <sz val="11"/>
        <color theme="1"/>
        <rFont val="Calibri"/>
        <family val="2"/>
        <scheme val="minor"/>
      </rPr>
      <t>italic, gray with a strikethrough</t>
    </r>
    <r>
      <rPr>
        <sz val="11"/>
        <color theme="1"/>
        <rFont val="Calibri"/>
        <family val="2"/>
        <scheme val="minor"/>
      </rPr>
      <t xml:space="preserve"> are not applicable for that classification. (</t>
    </r>
    <r>
      <rPr>
        <strike/>
        <sz val="11"/>
        <color theme="0" tint="-0.249977111117893"/>
        <rFont val="Calibri"/>
        <family val="2"/>
        <scheme val="minor"/>
      </rPr>
      <t>TEXT</t>
    </r>
    <r>
      <rPr>
        <sz val="11"/>
        <color theme="1"/>
        <rFont val="Calibri"/>
        <family val="2"/>
        <scheme val="minor"/>
      </rPr>
      <t>)</t>
    </r>
  </si>
  <si>
    <t>PCEph</t>
  </si>
  <si>
    <r>
      <t>Lanes</t>
    </r>
    <r>
      <rPr>
        <vertAlign val="subscript"/>
        <sz val="11"/>
        <color theme="1"/>
        <rFont val="Calibri"/>
        <family val="2"/>
        <scheme val="minor"/>
      </rPr>
      <t>EX</t>
    </r>
    <r>
      <rPr>
        <sz val="11"/>
        <color theme="1"/>
        <rFont val="Calibri"/>
        <family val="2"/>
        <scheme val="minor"/>
      </rPr>
      <t xml:space="preserve"> </t>
    </r>
    <r>
      <rPr>
        <sz val="11"/>
        <color theme="1"/>
        <rFont val="Calibri"/>
        <family val="2"/>
      </rPr>
      <t>× WZPCE</t>
    </r>
  </si>
  <si>
    <t>WZPCE</t>
  </si>
  <si>
    <t>2.10.1</t>
  </si>
  <si>
    <t>(07-17-19)</t>
  </si>
  <si>
    <t>Work Zone Capacity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</si>
</sst>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_);[Red]\(&quot;$&quot;#,##0.00\)"/>
    <numFmt numFmtId="44" formatCode="_(&quot;$&quot;* #,##0.00_);_(&quot;$&quot;* \(#,##0.00\);_(&quot;$&quot;* &quot;-&quot;??_);_(@_)"/>
    <numFmt numFmtId="164" formatCode="0.0"/>
    <numFmt numFmtId="165" formatCode="0.000"/>
    <numFmt numFmtId="166" formatCode="&quot;$&quot;0,000&quot; /yr&quot;"/>
    <numFmt numFmtId="167" formatCode="0.00000000"/>
    <numFmt numFmtId="168" formatCode="&quot;$&quot;0.00&quot; /mile&quot;"/>
    <numFmt numFmtId="169" formatCode="0.0%"/>
    <numFmt numFmtId="170" formatCode="[$-409]h:mm\ AM/PM;@"/>
    <numFmt numFmtId="171" formatCode="0.00\ &quot;miles&quot;"/>
    <numFmt numFmtId="172" formatCode="0.0\ &quot;minutes&quot;"/>
    <numFmt numFmtId="173" formatCode="&quot;$&quot;#,##0.00"/>
    <numFmt numFmtId="174" formatCode="0.0000"/>
    <numFmt numFmtId="175" formatCode="0\ &quot;hour late&quot;"/>
    <numFmt numFmtId="176" formatCode="0\ &quot;hours late&quot;"/>
    <numFmt numFmtId="177" formatCode="0.00\ &quot;minutes&quot;"/>
    <numFmt numFmtId="178" formatCode="&quot;$&quot;#,##0"/>
    <numFmt numFmtId="179" formatCode="0\ &quot;day(s)&quot;"/>
    <numFmt numFmtId="180" formatCode="0.0\ &quot;mi&quot;"/>
    <numFmt numFmtId="181" formatCode="0.00000"/>
  </numFmts>
  <fonts count="6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Arial"/>
      <family val="2"/>
    </font>
    <font>
      <i/>
      <sz val="10"/>
      <color theme="1"/>
      <name val="Calibri"/>
      <family val="2"/>
      <scheme val="minor"/>
    </font>
    <font>
      <sz val="10"/>
      <color theme="1"/>
      <name val="Calibri"/>
      <family val="2"/>
      <scheme val="minor"/>
    </font>
    <font>
      <b/>
      <sz val="11"/>
      <name val="Calibri"/>
      <family val="2"/>
      <scheme val="minor"/>
    </font>
    <font>
      <vertAlign val="subscript"/>
      <sz val="11"/>
      <color theme="1"/>
      <name val="Calibri"/>
      <family val="2"/>
      <scheme val="minor"/>
    </font>
    <font>
      <u/>
      <sz val="11"/>
      <color theme="10"/>
      <name val="Calibri"/>
      <family val="2"/>
    </font>
    <font>
      <i/>
      <sz val="11"/>
      <color theme="1"/>
      <name val="Calibri"/>
      <family val="2"/>
      <scheme val="minor"/>
    </font>
    <font>
      <i/>
      <sz val="9"/>
      <name val="Calibri"/>
      <family val="2"/>
      <scheme val="minor"/>
    </font>
    <font>
      <sz val="11"/>
      <name val="Calibri"/>
      <family val="2"/>
      <scheme val="minor"/>
    </font>
    <font>
      <i/>
      <sz val="10"/>
      <name val="Calibri"/>
      <family val="2"/>
      <scheme val="minor"/>
    </font>
    <font>
      <b/>
      <sz val="28"/>
      <color theme="0"/>
      <name val="Calibri"/>
      <family val="2"/>
      <scheme val="minor"/>
    </font>
    <font>
      <i/>
      <sz val="12"/>
      <color theme="1"/>
      <name val="Calibri"/>
      <family val="2"/>
      <scheme val="minor"/>
    </font>
    <font>
      <b/>
      <sz val="11"/>
      <color theme="0" tint="-4.9989318521683403E-2"/>
      <name val="Calibri"/>
      <family val="2"/>
      <scheme val="minor"/>
    </font>
    <font>
      <b/>
      <sz val="16"/>
      <color theme="1"/>
      <name val="Calibri"/>
      <family val="2"/>
      <scheme val="minor"/>
    </font>
    <font>
      <b/>
      <sz val="11"/>
      <color rgb="FFFF0000"/>
      <name val="Calibri"/>
      <family val="2"/>
      <scheme val="minor"/>
    </font>
    <font>
      <b/>
      <sz val="28"/>
      <color theme="1" tint="4.9989318521683403E-2"/>
      <name val="Calibri"/>
      <family val="2"/>
      <scheme val="minor"/>
    </font>
    <font>
      <sz val="11"/>
      <color rgb="FFFFFF00"/>
      <name val="Calibri"/>
      <family val="2"/>
      <scheme val="minor"/>
    </font>
    <font>
      <b/>
      <sz val="14"/>
      <color theme="1"/>
      <name val="Calibri"/>
      <family val="2"/>
      <scheme val="minor"/>
    </font>
    <font>
      <sz val="11"/>
      <color theme="0"/>
      <name val="Calibri"/>
      <family val="2"/>
      <scheme val="minor"/>
    </font>
    <font>
      <sz val="11"/>
      <color theme="0" tint="-0.499984740745262"/>
      <name val="Calibri"/>
      <family val="2"/>
      <scheme val="minor"/>
    </font>
    <font>
      <i/>
      <sz val="11"/>
      <color rgb="FFFF0000"/>
      <name val="Calibri"/>
      <family val="2"/>
      <scheme val="minor"/>
    </font>
    <font>
      <b/>
      <i/>
      <sz val="11"/>
      <color theme="0"/>
      <name val="Calibri"/>
      <family val="2"/>
      <scheme val="minor"/>
    </font>
    <font>
      <b/>
      <i/>
      <sz val="11"/>
      <color theme="1"/>
      <name val="Calibri"/>
      <family val="2"/>
      <scheme val="minor"/>
    </font>
    <font>
      <b/>
      <sz val="10"/>
      <color theme="0"/>
      <name val="Calibri"/>
      <family val="2"/>
      <scheme val="minor"/>
    </font>
    <font>
      <sz val="11"/>
      <color theme="1"/>
      <name val="Calibri"/>
      <family val="2"/>
    </font>
    <font>
      <vertAlign val="subscript"/>
      <sz val="11"/>
      <color theme="1"/>
      <name val="Calibri"/>
      <family val="2"/>
    </font>
    <font>
      <sz val="11"/>
      <color theme="0" tint="-0.34998626667073579"/>
      <name val="Calibri"/>
      <family val="2"/>
      <scheme val="minor"/>
    </font>
    <font>
      <sz val="10"/>
      <color theme="1"/>
      <name val="Calibri"/>
      <family val="2"/>
    </font>
    <font>
      <vertAlign val="subscript"/>
      <sz val="10"/>
      <color theme="1"/>
      <name val="Calibri"/>
      <family val="2"/>
    </font>
    <font>
      <sz val="8"/>
      <color theme="1"/>
      <name val="Calibri"/>
      <family val="2"/>
      <scheme val="minor"/>
    </font>
    <font>
      <sz val="11"/>
      <color theme="7" tint="-0.249977111117893"/>
      <name val="Calibri"/>
      <family val="2"/>
      <scheme val="minor"/>
    </font>
    <font>
      <b/>
      <sz val="28"/>
      <name val="Calibri"/>
      <family val="2"/>
      <scheme val="minor"/>
    </font>
    <font>
      <b/>
      <u/>
      <sz val="11"/>
      <color theme="1"/>
      <name val="Calibri"/>
      <family val="2"/>
      <scheme val="minor"/>
    </font>
    <font>
      <sz val="14"/>
      <color theme="1"/>
      <name val="Calibri"/>
      <family val="2"/>
      <scheme val="minor"/>
    </font>
    <font>
      <u/>
      <sz val="14"/>
      <color theme="1"/>
      <name val="Calibri"/>
      <family val="2"/>
      <scheme val="minor"/>
    </font>
    <font>
      <u/>
      <sz val="12"/>
      <color theme="10"/>
      <name val="Calibri"/>
      <family val="2"/>
      <scheme val="minor"/>
    </font>
    <font>
      <i/>
      <strike/>
      <sz val="11"/>
      <color theme="0" tint="-0.499984740745262"/>
      <name val="Calibri"/>
      <family val="2"/>
      <scheme val="minor"/>
    </font>
    <font>
      <u/>
      <sz val="11"/>
      <color theme="1"/>
      <name val="Calibri"/>
      <family val="2"/>
      <scheme val="minor"/>
    </font>
    <font>
      <sz val="10"/>
      <color rgb="FFFFFF00"/>
      <name val="Calibri"/>
      <family val="2"/>
      <scheme val="minor"/>
    </font>
    <font>
      <i/>
      <sz val="10"/>
      <color rgb="FFFF0000"/>
      <name val="Calibri"/>
      <family val="2"/>
      <scheme val="minor"/>
    </font>
    <font>
      <sz val="9"/>
      <color theme="1"/>
      <name val="Calibri"/>
      <family val="2"/>
      <scheme val="minor"/>
    </font>
    <font>
      <b/>
      <i/>
      <sz val="11"/>
      <color rgb="FF0070C0"/>
      <name val="Calibri"/>
      <family val="2"/>
    </font>
    <font>
      <b/>
      <i/>
      <sz val="11"/>
      <color rgb="FFFF0000"/>
      <name val="Calibri"/>
      <family val="2"/>
      <scheme val="minor"/>
    </font>
    <font>
      <i/>
      <sz val="11"/>
      <color theme="0" tint="-0.499984740745262"/>
      <name val="Calibri"/>
      <family val="2"/>
      <scheme val="minor"/>
    </font>
    <font>
      <i/>
      <sz val="11"/>
      <name val="Calibri"/>
      <family val="2"/>
      <scheme val="minor"/>
    </font>
    <font>
      <i/>
      <sz val="11"/>
      <name val="Calibri"/>
      <family val="2"/>
    </font>
    <font>
      <sz val="16"/>
      <color theme="1"/>
      <name val="Calibri"/>
      <family val="2"/>
      <scheme val="minor"/>
    </font>
    <font>
      <sz val="28"/>
      <color theme="1"/>
      <name val="Calibri"/>
      <family val="2"/>
      <scheme val="minor"/>
    </font>
    <font>
      <b/>
      <i/>
      <sz val="14"/>
      <color rgb="FFFF0000"/>
      <name val="Calibri"/>
      <family val="2"/>
      <scheme val="minor"/>
    </font>
    <font>
      <sz val="24"/>
      <color theme="1"/>
      <name val="Calibri"/>
      <family val="2"/>
      <scheme val="minor"/>
    </font>
    <font>
      <b/>
      <sz val="12"/>
      <color theme="1"/>
      <name val="Calibri"/>
      <family val="2"/>
      <scheme val="minor"/>
    </font>
    <font>
      <i/>
      <sz val="9"/>
      <color theme="0" tint="-0.34998626667073579"/>
      <name val="Calibri"/>
      <family val="2"/>
      <scheme val="minor"/>
    </font>
    <font>
      <i/>
      <sz val="14"/>
      <color theme="1"/>
      <name val="Calibri"/>
      <family val="2"/>
      <scheme val="minor"/>
    </font>
    <font>
      <b/>
      <sz val="10"/>
      <color theme="1"/>
      <name val="Calibri"/>
      <family val="2"/>
      <scheme val="minor"/>
    </font>
    <font>
      <i/>
      <sz val="11"/>
      <color theme="7" tint="-0.249977111117893"/>
      <name val="Calibri"/>
      <family val="2"/>
      <scheme val="minor"/>
    </font>
    <font>
      <strike/>
      <sz val="11"/>
      <color theme="0" tint="-0.249977111117893"/>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F0"/>
        <bgColor indexed="64"/>
      </patternFill>
    </fill>
    <fill>
      <patternFill patternType="lightUp"/>
    </fill>
    <fill>
      <patternFill patternType="solid">
        <fgColor theme="7" tint="0.59999389629810485"/>
        <bgColor indexed="64"/>
      </patternFill>
    </fill>
    <fill>
      <patternFill patternType="lightUp">
        <bgColor theme="7" tint="0.59999389629810485"/>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59999389629810485"/>
        <bgColor indexed="64"/>
      </patternFill>
    </fill>
    <fill>
      <patternFill patternType="solid">
        <fgColor rgb="FFC000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4.9989318521683403E-2"/>
        <bgColor indexed="64"/>
      </patternFill>
    </fill>
    <fill>
      <patternFill patternType="solid">
        <fgColor rgb="FF0070C0"/>
        <bgColor indexed="64"/>
      </patternFill>
    </fill>
    <fill>
      <patternFill patternType="solid">
        <fgColor rgb="FF7030A0"/>
        <bgColor indexed="64"/>
      </patternFill>
    </fill>
    <fill>
      <patternFill patternType="solid">
        <fgColor theme="5" tint="0.79998168889431442"/>
        <bgColor indexed="64"/>
      </patternFill>
    </fill>
    <fill>
      <patternFill patternType="lightUp">
        <bgColor theme="0" tint="-0.14996795556505021"/>
      </patternFill>
    </fill>
    <fill>
      <patternFill patternType="solid">
        <fgColor theme="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lightUp">
        <bgColor theme="0" tint="-0.14999847407452621"/>
      </patternFill>
    </fill>
    <fill>
      <patternFill patternType="solid">
        <fgColor theme="9" tint="0.39997558519241921"/>
        <bgColor indexed="64"/>
      </patternFill>
    </fill>
    <fill>
      <patternFill patternType="solid">
        <fgColor theme="2" tint="-0.249977111117893"/>
        <bgColor indexed="64"/>
      </patternFill>
    </fill>
    <fill>
      <patternFill patternType="lightUp">
        <bgColor theme="0"/>
      </patternFill>
    </fill>
    <fill>
      <patternFill patternType="solid">
        <fgColor theme="2" tint="-9.9978637043366805E-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right style="thin">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theme="0"/>
      </left>
      <right style="double">
        <color theme="0"/>
      </right>
      <top style="thin">
        <color indexed="64"/>
      </top>
      <bottom style="thin">
        <color indexed="64"/>
      </bottom>
      <diagonal/>
    </border>
    <border>
      <left style="double">
        <color theme="0"/>
      </left>
      <right/>
      <top style="thin">
        <color indexed="64"/>
      </top>
      <bottom style="thin">
        <color indexed="64"/>
      </bottom>
      <diagonal/>
    </border>
    <border>
      <left style="thin">
        <color indexed="64"/>
      </left>
      <right style="double">
        <color theme="0"/>
      </right>
      <top style="thin">
        <color indexed="64"/>
      </top>
      <bottom style="thin">
        <color indexed="64"/>
      </bottom>
      <diagonal/>
    </border>
    <border>
      <left/>
      <right style="double">
        <color theme="0"/>
      </right>
      <top style="thin">
        <color indexed="64"/>
      </top>
      <bottom style="thin">
        <color indexed="64"/>
      </bottom>
      <diagonal/>
    </border>
    <border>
      <left style="double">
        <color theme="0"/>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theme="0"/>
      </left>
      <right style="thin">
        <color theme="0"/>
      </right>
      <top style="thin">
        <color indexed="64"/>
      </top>
      <bottom style="thin">
        <color indexed="64"/>
      </bottom>
      <diagonal/>
    </border>
    <border>
      <left style="thin">
        <color theme="0"/>
      </left>
      <right style="double">
        <color theme="0"/>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double">
        <color theme="0"/>
      </right>
      <top style="thin">
        <color indexed="64"/>
      </top>
      <bottom style="thin">
        <color indexed="64"/>
      </bottom>
      <diagonal/>
    </border>
    <border>
      <left style="double">
        <color theme="0"/>
      </left>
      <right style="double">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right/>
      <top/>
      <bottom style="double">
        <color auto="1"/>
      </bottom>
      <diagonal/>
    </border>
  </borders>
  <cellStyleXfs count="5">
    <xf numFmtId="0" fontId="0" fillId="0" borderId="0"/>
    <xf numFmtId="0" fontId="4" fillId="0" borderId="0" applyNumberFormat="0" applyFill="0" applyBorder="0" applyAlignment="0" applyProtection="0"/>
    <xf numFmtId="0" fontId="5" fillId="0" borderId="0"/>
    <xf numFmtId="44" fontId="5" fillId="0" borderId="0" applyFont="0" applyFill="0" applyBorder="0" applyAlignment="0" applyProtection="0"/>
    <xf numFmtId="0" fontId="10" fillId="0" borderId="0" applyNumberFormat="0" applyFill="0" applyBorder="0" applyAlignment="0" applyProtection="0">
      <alignment vertical="top"/>
      <protection locked="0"/>
    </xf>
  </cellStyleXfs>
  <cellXfs count="1238">
    <xf numFmtId="0" fontId="0" fillId="0" borderId="0" xfId="0"/>
    <xf numFmtId="9" fontId="0" fillId="0" borderId="0" xfId="0" applyNumberFormat="1"/>
    <xf numFmtId="17" fontId="0" fillId="0" borderId="0" xfId="0" quotePrefix="1" applyNumberFormat="1"/>
    <xf numFmtId="0" fontId="0" fillId="0" borderId="0" xfId="0" quotePrefix="1"/>
    <xf numFmtId="0" fontId="4" fillId="0" borderId="0" xfId="1"/>
    <xf numFmtId="0" fontId="0" fillId="0" borderId="0" xfId="0" applyAlignment="1">
      <alignment horizontal="left"/>
    </xf>
    <xf numFmtId="0" fontId="3" fillId="0" borderId="0" xfId="0" applyFont="1"/>
    <xf numFmtId="0" fontId="0" fillId="0" borderId="0" xfId="0"/>
    <xf numFmtId="0" fontId="0" fillId="0" borderId="1" xfId="0" applyBorder="1" applyAlignment="1">
      <alignment horizontal="center"/>
    </xf>
    <xf numFmtId="0" fontId="0" fillId="0" borderId="1" xfId="0" quotePrefix="1" applyBorder="1" applyAlignment="1">
      <alignment horizontal="center"/>
    </xf>
    <xf numFmtId="0" fontId="0" fillId="0" borderId="0" xfId="0"/>
    <xf numFmtId="0" fontId="0" fillId="0" borderId="10" xfId="0" applyBorder="1" applyAlignment="1">
      <alignment horizontal="center"/>
    </xf>
    <xf numFmtId="0" fontId="8" fillId="2" borderId="10" xfId="0" applyFont="1" applyFill="1" applyBorder="1"/>
    <xf numFmtId="9" fontId="0" fillId="0" borderId="10" xfId="0" applyNumberFormat="1"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center"/>
    </xf>
    <xf numFmtId="0" fontId="0" fillId="0" borderId="0" xfId="0"/>
    <xf numFmtId="0" fontId="0" fillId="0" borderId="2" xfId="0" applyBorder="1"/>
    <xf numFmtId="164" fontId="0" fillId="0" borderId="2" xfId="0" applyNumberFormat="1" applyBorder="1" applyAlignment="1">
      <alignment horizontal="center"/>
    </xf>
    <xf numFmtId="164" fontId="0" fillId="0" borderId="1" xfId="0" applyNumberFormat="1" applyBorder="1" applyAlignment="1">
      <alignment horizontal="right"/>
    </xf>
    <xf numFmtId="2" fontId="0" fillId="0" borderId="10" xfId="0" applyNumberFormat="1" applyBorder="1" applyAlignment="1">
      <alignment horizontal="center"/>
    </xf>
    <xf numFmtId="0" fontId="0" fillId="0" borderId="0" xfId="0"/>
    <xf numFmtId="0" fontId="0" fillId="0" borderId="0" xfId="0"/>
    <xf numFmtId="0" fontId="0" fillId="2" borderId="10" xfId="0" applyFill="1" applyBorder="1" applyAlignment="1">
      <alignment horizontal="center"/>
    </xf>
    <xf numFmtId="0" fontId="0" fillId="0" borderId="10" xfId="0" applyBorder="1" applyAlignment="1">
      <alignment horizontal="center"/>
    </xf>
    <xf numFmtId="0" fontId="0" fillId="2" borderId="12" xfId="0" applyFill="1" applyBorder="1" applyAlignment="1">
      <alignment horizontal="center"/>
    </xf>
    <xf numFmtId="0" fontId="0" fillId="0" borderId="10" xfId="0" applyBorder="1" applyAlignment="1">
      <alignment horizontal="center"/>
    </xf>
    <xf numFmtId="0" fontId="11" fillId="0" borderId="0" xfId="0" applyFont="1"/>
    <xf numFmtId="0" fontId="0" fillId="0" borderId="0" xfId="0"/>
    <xf numFmtId="0" fontId="3" fillId="0" borderId="0" xfId="0" applyFont="1"/>
    <xf numFmtId="0" fontId="11" fillId="0" borderId="0" xfId="0" quotePrefix="1" applyFont="1"/>
    <xf numFmtId="0" fontId="3" fillId="0" borderId="0" xfId="0" applyFont="1"/>
    <xf numFmtId="0" fontId="3" fillId="0" borderId="0" xfId="0" applyFont="1"/>
    <xf numFmtId="0" fontId="0" fillId="0" borderId="3" xfId="0" applyBorder="1"/>
    <xf numFmtId="9" fontId="0" fillId="0" borderId="10" xfId="0" applyNumberFormat="1" applyBorder="1" applyAlignment="1">
      <alignment horizontal="center"/>
    </xf>
    <xf numFmtId="0" fontId="0" fillId="0" borderId="0" xfId="0"/>
    <xf numFmtId="0" fontId="0" fillId="0" borderId="0" xfId="0" applyAlignment="1">
      <alignment horizontal="center"/>
    </xf>
    <xf numFmtId="0" fontId="11" fillId="0" borderId="0" xfId="0" applyFont="1" applyAlignment="1">
      <alignment horizontal="center"/>
    </xf>
    <xf numFmtId="0" fontId="0" fillId="0" borderId="0" xfId="0" quotePrefix="1" applyAlignment="1">
      <alignment horizontal="left"/>
    </xf>
    <xf numFmtId="0" fontId="7" fillId="0" borderId="0" xfId="0" applyFont="1"/>
    <xf numFmtId="0" fontId="17" fillId="15" borderId="10" xfId="0" applyFont="1" applyFill="1" applyBorder="1" applyAlignment="1">
      <alignment horizontal="center"/>
    </xf>
    <xf numFmtId="0" fontId="3" fillId="16" borderId="10" xfId="0" applyFont="1" applyFill="1" applyBorder="1" applyAlignment="1">
      <alignment horizontal="center"/>
    </xf>
    <xf numFmtId="18" fontId="0" fillId="0" borderId="10" xfId="0" applyNumberFormat="1" applyBorder="1" applyAlignment="1">
      <alignment horizontal="center"/>
    </xf>
    <xf numFmtId="0" fontId="18" fillId="0" borderId="0" xfId="0" applyFont="1" applyBorder="1"/>
    <xf numFmtId="0" fontId="19" fillId="0" borderId="0" xfId="0" applyFont="1"/>
    <xf numFmtId="0" fontId="19" fillId="0" borderId="0" xfId="0" applyFont="1" applyAlignment="1">
      <alignment horizontal="center"/>
    </xf>
    <xf numFmtId="0" fontId="0" fillId="0" borderId="0" xfId="0" applyBorder="1"/>
    <xf numFmtId="0" fontId="0" fillId="0" borderId="0" xfId="0" applyBorder="1" applyAlignment="1"/>
    <xf numFmtId="0" fontId="0" fillId="0" borderId="4" xfId="0" applyBorder="1"/>
    <xf numFmtId="0" fontId="0" fillId="0" borderId="6" xfId="0" applyBorder="1"/>
    <xf numFmtId="0" fontId="0" fillId="0" borderId="0" xfId="0" applyFill="1"/>
    <xf numFmtId="0" fontId="18" fillId="0" borderId="0" xfId="0" applyFont="1" applyBorder="1" applyAlignment="1">
      <alignment vertical="center"/>
    </xf>
    <xf numFmtId="0" fontId="11" fillId="0" borderId="0" xfId="0" applyFont="1" applyAlignment="1">
      <alignment horizontal="left" indent="1"/>
    </xf>
    <xf numFmtId="0" fontId="0" fillId="9" borderId="5" xfId="0" applyFill="1" applyBorder="1"/>
    <xf numFmtId="0" fontId="0" fillId="9" borderId="6" xfId="0" applyFill="1" applyBorder="1"/>
    <xf numFmtId="0" fontId="0" fillId="9" borderId="7" xfId="0" applyFill="1" applyBorder="1"/>
    <xf numFmtId="0" fontId="0" fillId="0" borderId="4" xfId="0" applyBorder="1" applyAlignment="1"/>
    <xf numFmtId="0" fontId="0" fillId="0" borderId="13" xfId="0" applyBorder="1" applyAlignment="1"/>
    <xf numFmtId="0" fontId="0" fillId="0" borderId="13" xfId="0" applyFill="1" applyBorder="1" applyAlignment="1">
      <alignment horizontal="center"/>
    </xf>
    <xf numFmtId="0" fontId="0" fillId="0" borderId="0" xfId="0" applyFill="1" applyBorder="1" applyAlignment="1">
      <alignment horizontal="center"/>
    </xf>
    <xf numFmtId="0" fontId="11" fillId="0" borderId="0" xfId="0" applyFont="1" applyAlignment="1">
      <alignment horizontal="right"/>
    </xf>
    <xf numFmtId="0" fontId="11" fillId="0" borderId="0" xfId="0" quotePrefix="1"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2" fillId="0" borderId="0" xfId="0" applyFont="1"/>
    <xf numFmtId="0" fontId="0" fillId="0" borderId="2" xfId="0" applyBorder="1" applyAlignment="1">
      <alignment vertical="center"/>
    </xf>
    <xf numFmtId="0" fontId="13" fillId="0" borderId="0" xfId="0" applyFont="1"/>
    <xf numFmtId="0" fontId="7" fillId="2" borderId="5" xfId="0" applyFont="1" applyFill="1" applyBorder="1" applyAlignment="1"/>
    <xf numFmtId="0" fontId="7" fillId="2" borderId="6" xfId="0" applyFont="1" applyFill="1" applyBorder="1" applyAlignment="1"/>
    <xf numFmtId="0" fontId="7" fillId="2" borderId="7" xfId="0" applyFont="1" applyFill="1" applyBorder="1" applyAlignment="1"/>
    <xf numFmtId="0" fontId="0" fillId="0" borderId="1" xfId="0" applyBorder="1" applyAlignment="1"/>
    <xf numFmtId="0" fontId="0" fillId="0" borderId="10" xfId="0" applyFont="1" applyBorder="1" applyAlignment="1">
      <alignment horizontal="center"/>
    </xf>
    <xf numFmtId="0" fontId="0" fillId="0" borderId="10" xfId="0" quotePrefix="1" applyFont="1" applyBorder="1" applyAlignment="1">
      <alignment horizontal="center"/>
    </xf>
    <xf numFmtId="0" fontId="0" fillId="2" borderId="1" xfId="0" applyFill="1" applyBorder="1" applyAlignment="1">
      <alignment horizontal="center"/>
    </xf>
    <xf numFmtId="0" fontId="0" fillId="0" borderId="10" xfId="0"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164" fontId="0" fillId="0" borderId="10" xfId="0" applyNumberFormat="1" applyBorder="1" applyAlignment="1">
      <alignment horizont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indent="1"/>
    </xf>
    <xf numFmtId="0" fontId="0" fillId="0" borderId="10" xfId="0" applyBorder="1" applyAlignment="1">
      <alignment horizont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left" vertical="center" indent="1"/>
    </xf>
    <xf numFmtId="0" fontId="0" fillId="0" borderId="0" xfId="0" applyAlignment="1"/>
    <xf numFmtId="0" fontId="0" fillId="9" borderId="1" xfId="0" applyFill="1" applyBorder="1"/>
    <xf numFmtId="0" fontId="0" fillId="9" borderId="2" xfId="0" applyFill="1" applyBorder="1"/>
    <xf numFmtId="0" fontId="0" fillId="9" borderId="3" xfId="0" applyFill="1" applyBorder="1"/>
    <xf numFmtId="0" fontId="11" fillId="0" borderId="0" xfId="0" quotePrefix="1" applyFont="1" applyAlignment="1">
      <alignment horizontal="right"/>
    </xf>
    <xf numFmtId="0" fontId="0" fillId="0" borderId="2" xfId="0" applyFill="1" applyBorder="1" applyAlignment="1">
      <alignment vertical="center"/>
    </xf>
    <xf numFmtId="0" fontId="0" fillId="0" borderId="1" xfId="0" applyFill="1" applyBorder="1" applyAlignment="1">
      <alignment horizontal="left" vertical="center" indent="1"/>
    </xf>
    <xf numFmtId="0" fontId="0" fillId="0" borderId="14" xfId="0" applyFill="1" applyBorder="1" applyAlignment="1">
      <alignment horizontal="left" vertical="center" indent="1"/>
    </xf>
    <xf numFmtId="0" fontId="0" fillId="26" borderId="2" xfId="0" applyFill="1" applyBorder="1" applyAlignment="1">
      <alignment horizontal="center"/>
    </xf>
    <xf numFmtId="0" fontId="24" fillId="0" borderId="1" xfId="0" applyFont="1" applyBorder="1" applyAlignment="1">
      <alignment horizontal="left" vertical="center" indent="6"/>
    </xf>
    <xf numFmtId="0" fontId="24" fillId="0" borderId="2" xfId="0" applyFont="1" applyBorder="1" applyAlignment="1">
      <alignment vertical="center"/>
    </xf>
    <xf numFmtId="0" fontId="24" fillId="26" borderId="2" xfId="0" applyFont="1" applyFill="1" applyBorder="1" applyAlignment="1">
      <alignment horizontal="center"/>
    </xf>
    <xf numFmtId="0" fontId="24" fillId="0" borderId="3" xfId="0" quotePrefix="1" applyFont="1" applyBorder="1" applyAlignment="1">
      <alignment horizontal="center"/>
    </xf>
    <xf numFmtId="0" fontId="24" fillId="0" borderId="3" xfId="0" quotePrefix="1" applyFont="1" applyBorder="1" applyAlignment="1">
      <alignment horizontal="center" vertical="center"/>
    </xf>
    <xf numFmtId="0" fontId="24" fillId="0" borderId="3" xfId="0" applyFont="1" applyBorder="1" applyAlignment="1">
      <alignment horizontal="center" vertical="center" shrinkToFit="1"/>
    </xf>
    <xf numFmtId="0" fontId="0" fillId="26" borderId="3" xfId="0"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26" borderId="21" xfId="0" applyFill="1" applyBorder="1" applyAlignment="1">
      <alignment horizontal="center" vertical="center"/>
    </xf>
    <xf numFmtId="0" fontId="0" fillId="26" borderId="19" xfId="0" applyFill="1" applyBorder="1" applyAlignment="1">
      <alignment horizontal="center" vertical="center"/>
    </xf>
    <xf numFmtId="0" fontId="0" fillId="0" borderId="19" xfId="0" quotePrefix="1" applyBorder="1" applyAlignment="1">
      <alignment horizontal="center" vertical="center"/>
    </xf>
    <xf numFmtId="0" fontId="0" fillId="0" borderId="20" xfId="0" quotePrefix="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xf>
    <xf numFmtId="0" fontId="0" fillId="26" borderId="22" xfId="0" applyFill="1" applyBorder="1" applyAlignment="1">
      <alignment horizontal="center"/>
    </xf>
    <xf numFmtId="0" fontId="24" fillId="0" borderId="21" xfId="0" applyFont="1" applyBorder="1" applyAlignment="1">
      <alignment horizontal="center" vertical="center"/>
    </xf>
    <xf numFmtId="0" fontId="24" fillId="0" borderId="19" xfId="0" quotePrefix="1" applyFont="1" applyBorder="1" applyAlignment="1">
      <alignment horizontal="center"/>
    </xf>
    <xf numFmtId="0" fontId="24" fillId="0" borderId="19" xfId="0" applyFont="1" applyBorder="1" applyAlignment="1">
      <alignment horizontal="center" vertical="center"/>
    </xf>
    <xf numFmtId="164" fontId="0" fillId="0" borderId="21" xfId="0" applyNumberFormat="1" applyBorder="1" applyAlignment="1">
      <alignment horizontal="center" vertical="center"/>
    </xf>
    <xf numFmtId="0" fontId="0" fillId="0" borderId="21" xfId="0" applyNumberFormat="1" applyBorder="1" applyAlignment="1">
      <alignment horizontal="center" vertical="center"/>
    </xf>
    <xf numFmtId="164" fontId="24" fillId="0" borderId="21" xfId="0" applyNumberFormat="1" applyFont="1" applyBorder="1" applyAlignment="1">
      <alignment horizontal="center" vertical="center"/>
    </xf>
    <xf numFmtId="0" fontId="24" fillId="26" borderId="22" xfId="0" applyFont="1" applyFill="1" applyBorder="1" applyAlignment="1">
      <alignment horizontal="center"/>
    </xf>
    <xf numFmtId="0" fontId="24" fillId="0" borderId="19" xfId="0" quotePrefix="1" applyFont="1" applyBorder="1" applyAlignment="1">
      <alignment horizontal="center" vertical="center"/>
    </xf>
    <xf numFmtId="0" fontId="0" fillId="0" borderId="21" xfId="0" quotePrefix="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2" borderId="5"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0" fontId="0" fillId="2" borderId="12" xfId="0" applyFill="1" applyBorder="1" applyAlignment="1">
      <alignment horizontal="center"/>
    </xf>
    <xf numFmtId="0" fontId="0" fillId="0" borderId="1" xfId="0" applyBorder="1" applyAlignment="1">
      <alignment horizontal="left" vertical="center" indent="1"/>
    </xf>
    <xf numFmtId="164" fontId="0" fillId="0" borderId="21" xfId="0" applyNumberFormat="1" applyBorder="1" applyAlignment="1">
      <alignment horizontal="center"/>
    </xf>
    <xf numFmtId="164" fontId="0" fillId="2" borderId="10" xfId="0" applyNumberFormat="1" applyFill="1" applyBorder="1" applyAlignment="1">
      <alignment horizontal="center"/>
    </xf>
    <xf numFmtId="0" fontId="1" fillId="27" borderId="5" xfId="0" applyFont="1" applyFill="1" applyBorder="1" applyAlignment="1">
      <alignment horizontal="left" vertical="center" indent="1"/>
    </xf>
    <xf numFmtId="0" fontId="1" fillId="27" borderId="6" xfId="0" applyFont="1" applyFill="1" applyBorder="1" applyAlignment="1">
      <alignment vertical="center"/>
    </xf>
    <xf numFmtId="0" fontId="1" fillId="27" borderId="3" xfId="0" applyFont="1" applyFill="1" applyBorder="1" applyAlignment="1">
      <alignment horizontal="center" vertical="center"/>
    </xf>
    <xf numFmtId="0" fontId="1" fillId="27" borderId="10" xfId="0" applyFont="1" applyFill="1" applyBorder="1" applyAlignment="1">
      <alignment horizontal="center" vertical="center"/>
    </xf>
    <xf numFmtId="0" fontId="0" fillId="26" borderId="21" xfId="0" applyFill="1" applyBorder="1" applyAlignment="1">
      <alignment horizontal="center"/>
    </xf>
    <xf numFmtId="10" fontId="0" fillId="0" borderId="3" xfId="0" applyNumberFormat="1" applyBorder="1" applyAlignment="1">
      <alignment horizontal="center" vertical="center"/>
    </xf>
    <xf numFmtId="10" fontId="0" fillId="0" borderId="21" xfId="0" applyNumberFormat="1" applyBorder="1" applyAlignment="1">
      <alignment horizontal="center" vertical="center"/>
    </xf>
    <xf numFmtId="165" fontId="0" fillId="0" borderId="3" xfId="0" applyNumberFormat="1" applyBorder="1" applyAlignment="1">
      <alignment horizontal="center" vertical="center"/>
    </xf>
    <xf numFmtId="169" fontId="0" fillId="0" borderId="21" xfId="0" applyNumberFormat="1" applyBorder="1" applyAlignment="1">
      <alignment horizontal="center" vertical="center"/>
    </xf>
    <xf numFmtId="0" fontId="13" fillId="28" borderId="19" xfId="0" applyFont="1" applyFill="1" applyBorder="1" applyAlignment="1">
      <alignment horizontal="center" vertical="center"/>
    </xf>
    <xf numFmtId="0" fontId="1" fillId="27" borderId="31" xfId="0" applyFont="1" applyFill="1" applyBorder="1" applyAlignment="1">
      <alignment horizontal="center" vertical="center"/>
    </xf>
    <xf numFmtId="0" fontId="1" fillId="27" borderId="32" xfId="0" applyFont="1" applyFill="1" applyBorder="1" applyAlignment="1">
      <alignment horizontal="center" vertical="center"/>
    </xf>
    <xf numFmtId="2" fontId="0" fillId="0" borderId="21" xfId="0" applyNumberFormat="1" applyBorder="1" applyAlignment="1">
      <alignment horizontal="center" vertical="center"/>
    </xf>
    <xf numFmtId="170" fontId="0" fillId="0" borderId="21" xfId="0" applyNumberFormat="1" applyBorder="1" applyAlignment="1">
      <alignment horizontal="center" vertical="center"/>
    </xf>
    <xf numFmtId="170" fontId="0" fillId="0" borderId="10" xfId="0" applyNumberFormat="1" applyBorder="1" applyAlignment="1">
      <alignment horizontal="center" vertical="center"/>
    </xf>
    <xf numFmtId="0" fontId="0" fillId="0" borderId="1" xfId="0" applyBorder="1" applyAlignment="1">
      <alignment horizontal="left" vertical="center" indent="6"/>
    </xf>
    <xf numFmtId="0" fontId="1" fillId="27" borderId="1" xfId="0" applyFont="1" applyFill="1" applyBorder="1" applyAlignment="1">
      <alignment horizontal="left" vertical="center" indent="1"/>
    </xf>
    <xf numFmtId="170" fontId="0" fillId="0" borderId="10" xfId="0" applyNumberFormat="1" applyBorder="1" applyAlignment="1">
      <alignment horizontal="center"/>
    </xf>
    <xf numFmtId="0" fontId="0" fillId="2" borderId="19"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0" borderId="0" xfId="0" applyAlignment="1">
      <alignment horizontal="center"/>
    </xf>
    <xf numFmtId="0" fontId="0" fillId="2" borderId="6"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2" borderId="10" xfId="0" applyFill="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18" fontId="0" fillId="2" borderId="1" xfId="0" applyNumberFormat="1" applyFill="1" applyBorder="1" applyAlignment="1">
      <alignment horizontal="center"/>
    </xf>
    <xf numFmtId="2" fontId="0" fillId="0" borderId="10" xfId="0" applyNumberFormat="1" applyBorder="1" applyAlignment="1">
      <alignment horizontal="center"/>
    </xf>
    <xf numFmtId="0" fontId="0" fillId="0" borderId="10" xfId="0" quotePrefix="1" applyBorder="1" applyAlignment="1">
      <alignment horizontal="center"/>
    </xf>
    <xf numFmtId="0" fontId="0" fillId="0" borderId="2" xfId="0" applyBorder="1" applyAlignment="1">
      <alignment horizontal="center"/>
    </xf>
    <xf numFmtId="0" fontId="3" fillId="2" borderId="6" xfId="0" applyFont="1" applyFill="1" applyBorder="1" applyAlignment="1">
      <alignment horizontal="center"/>
    </xf>
    <xf numFmtId="0" fontId="0" fillId="0" borderId="1" xfId="0" applyBorder="1" applyAlignment="1">
      <alignment horizontal="left" vertical="center" indent="1"/>
    </xf>
    <xf numFmtId="0" fontId="0" fillId="0" borderId="1" xfId="0" applyBorder="1" applyAlignment="1">
      <alignment horizontal="left" indent="1"/>
    </xf>
    <xf numFmtId="0" fontId="0" fillId="27" borderId="2" xfId="0" applyFill="1" applyBorder="1"/>
    <xf numFmtId="0" fontId="0" fillId="27" borderId="3" xfId="0" applyFill="1" applyBorder="1"/>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left" vertical="center" indent="6"/>
    </xf>
    <xf numFmtId="0" fontId="24" fillId="26" borderId="19" xfId="0" applyFont="1" applyFill="1" applyBorder="1" applyAlignment="1">
      <alignment horizontal="center"/>
    </xf>
    <xf numFmtId="0" fontId="0" fillId="0" borderId="1" xfId="0" applyFill="1" applyBorder="1" applyAlignment="1">
      <alignment horizontal="center"/>
    </xf>
    <xf numFmtId="0" fontId="0" fillId="0" borderId="21" xfId="0" applyBorder="1" applyAlignment="1">
      <alignment horizontal="center"/>
    </xf>
    <xf numFmtId="2" fontId="0" fillId="0" borderId="21" xfId="0" applyNumberFormat="1" applyBorder="1" applyAlignment="1">
      <alignment horizontal="center"/>
    </xf>
    <xf numFmtId="0" fontId="24" fillId="26" borderId="10" xfId="0" applyFont="1" applyFill="1" applyBorder="1" applyAlignment="1">
      <alignment horizontal="center"/>
    </xf>
    <xf numFmtId="0" fontId="0" fillId="2" borderId="1" xfId="0" applyFill="1" applyBorder="1" applyAlignment="1">
      <alignment horizontal="left" indent="1"/>
    </xf>
    <xf numFmtId="0" fontId="0" fillId="2" borderId="2" xfId="0" applyFill="1" applyBorder="1"/>
    <xf numFmtId="0" fontId="0" fillId="2" borderId="21" xfId="0" applyFill="1" applyBorder="1" applyAlignment="1">
      <alignment horizontal="center"/>
    </xf>
    <xf numFmtId="164" fontId="0" fillId="0" borderId="19" xfId="0" applyNumberFormat="1" applyBorder="1" applyAlignment="1">
      <alignment horizontal="center"/>
    </xf>
    <xf numFmtId="0" fontId="11" fillId="2" borderId="3" xfId="0" applyFont="1" applyFill="1" applyBorder="1" applyAlignment="1">
      <alignment horizontal="center"/>
    </xf>
    <xf numFmtId="165" fontId="0" fillId="0" borderId="21" xfId="0" applyNumberFormat="1" applyBorder="1" applyAlignment="1">
      <alignment horizontal="center" vertical="center"/>
    </xf>
    <xf numFmtId="0" fontId="0" fillId="2" borderId="30" xfId="0" applyFill="1" applyBorder="1" applyAlignment="1">
      <alignment horizontal="center"/>
    </xf>
    <xf numFmtId="0" fontId="0" fillId="2" borderId="35" xfId="0" applyFill="1" applyBorder="1" applyAlignment="1">
      <alignment horizontal="center"/>
    </xf>
    <xf numFmtId="0" fontId="24" fillId="26" borderId="33" xfId="0" applyFont="1" applyFill="1" applyBorder="1" applyAlignment="1">
      <alignment horizontal="center"/>
    </xf>
    <xf numFmtId="0" fontId="24" fillId="26" borderId="35" xfId="0" applyFont="1" applyFill="1" applyBorder="1" applyAlignment="1">
      <alignment horizontal="center"/>
    </xf>
    <xf numFmtId="0" fontId="24" fillId="26" borderId="11" xfId="0" applyFont="1" applyFill="1" applyBorder="1" applyAlignment="1">
      <alignment horizontal="center"/>
    </xf>
    <xf numFmtId="0" fontId="24" fillId="26" borderId="12" xfId="0" applyFont="1" applyFill="1" applyBorder="1" applyAlignment="1">
      <alignment horizontal="center"/>
    </xf>
    <xf numFmtId="10" fontId="0" fillId="0" borderId="21" xfId="0" applyNumberFormat="1" applyBorder="1" applyAlignment="1">
      <alignment horizontal="center"/>
    </xf>
    <xf numFmtId="0" fontId="0" fillId="0" borderId="0" xfId="0" applyAlignment="1">
      <alignment horizontal="center"/>
    </xf>
    <xf numFmtId="0" fontId="0" fillId="2" borderId="10" xfId="0" applyFill="1" applyBorder="1" applyAlignment="1">
      <alignment horizontal="center"/>
    </xf>
    <xf numFmtId="0" fontId="0" fillId="0" borderId="10" xfId="0" applyBorder="1" applyAlignment="1">
      <alignment horizontal="center"/>
    </xf>
    <xf numFmtId="0" fontId="0" fillId="0" borderId="22" xfId="0" applyBorder="1"/>
    <xf numFmtId="0" fontId="0" fillId="2" borderId="0" xfId="0" applyFill="1"/>
    <xf numFmtId="0" fontId="0" fillId="2" borderId="36" xfId="0" applyFill="1" applyBorder="1"/>
    <xf numFmtId="0" fontId="0" fillId="0" borderId="1" xfId="0" applyFill="1" applyBorder="1" applyAlignment="1">
      <alignment horizontal="left" indent="1"/>
    </xf>
    <xf numFmtId="0" fontId="24" fillId="26" borderId="3" xfId="0" applyFont="1" applyFill="1" applyBorder="1" applyAlignment="1">
      <alignment horizontal="center"/>
    </xf>
    <xf numFmtId="0" fontId="0" fillId="28" borderId="19" xfId="0" applyFill="1" applyBorder="1" applyAlignment="1">
      <alignment horizontal="center"/>
    </xf>
    <xf numFmtId="0" fontId="0" fillId="0" borderId="22" xfId="0" applyBorder="1" applyAlignment="1">
      <alignment vertical="center"/>
    </xf>
    <xf numFmtId="0" fontId="0" fillId="26" borderId="1" xfId="0" applyFill="1" applyBorder="1" applyAlignment="1">
      <alignment horizontal="center" vertical="center"/>
    </xf>
    <xf numFmtId="2" fontId="0" fillId="0" borderId="1" xfId="0" applyNumberFormat="1" applyBorder="1" applyAlignment="1">
      <alignment horizontal="center"/>
    </xf>
    <xf numFmtId="9" fontId="0" fillId="2" borderId="1" xfId="0" applyNumberFormat="1" applyFill="1" applyBorder="1" applyAlignment="1">
      <alignment horizontal="center"/>
    </xf>
    <xf numFmtId="0" fontId="0" fillId="26" borderId="10" xfId="0" applyFill="1" applyBorder="1"/>
    <xf numFmtId="0" fontId="0" fillId="0" borderId="21" xfId="0" quotePrefix="1" applyBorder="1" applyAlignment="1">
      <alignment horizontal="center"/>
    </xf>
    <xf numFmtId="0" fontId="0" fillId="2" borderId="21" xfId="0" quotePrefix="1" applyFill="1" applyBorder="1" applyAlignment="1">
      <alignment horizontal="center"/>
    </xf>
    <xf numFmtId="0" fontId="0" fillId="2" borderId="10" xfId="0" quotePrefix="1" applyFill="1" applyBorder="1" applyAlignment="1">
      <alignment horizontal="center"/>
    </xf>
    <xf numFmtId="0" fontId="0" fillId="2" borderId="1" xfId="0" applyNumberFormat="1" applyFill="1" applyBorder="1" applyAlignment="1">
      <alignment horizontal="center"/>
    </xf>
    <xf numFmtId="0" fontId="0" fillId="24" borderId="0" xfId="0" applyFill="1" applyAlignment="1">
      <alignment horizontal="center"/>
    </xf>
    <xf numFmtId="0" fontId="23" fillId="24" borderId="0" xfId="0" applyFont="1" applyFill="1" applyAlignment="1">
      <alignment horizontal="left"/>
    </xf>
    <xf numFmtId="0" fontId="1" fillId="27" borderId="1" xfId="0" applyFont="1" applyFill="1" applyBorder="1" applyAlignment="1">
      <alignment horizontal="left" indent="1"/>
    </xf>
    <xf numFmtId="0" fontId="1" fillId="27" borderId="2" xfId="0" applyFont="1" applyFill="1" applyBorder="1" applyAlignment="1">
      <alignment horizontal="left" indent="1"/>
    </xf>
    <xf numFmtId="0" fontId="1" fillId="27" borderId="3" xfId="0" applyFont="1" applyFill="1" applyBorder="1" applyAlignment="1">
      <alignment horizontal="left" indent="1"/>
    </xf>
    <xf numFmtId="0" fontId="1" fillId="27" borderId="2" xfId="0" applyFont="1" applyFill="1" applyBorder="1" applyAlignment="1">
      <alignment horizontal="center"/>
    </xf>
    <xf numFmtId="0" fontId="0" fillId="0" borderId="0" xfId="0" applyAlignment="1">
      <alignment horizontal="left" indent="1"/>
    </xf>
    <xf numFmtId="0" fontId="0" fillId="0" borderId="1" xfId="0" applyBorder="1"/>
    <xf numFmtId="0" fontId="0" fillId="0" borderId="10" xfId="0" applyBorder="1" applyAlignment="1">
      <alignment horizontal="left" indent="1"/>
    </xf>
    <xf numFmtId="0" fontId="0" fillId="2" borderId="3" xfId="0" applyFill="1" applyBorder="1"/>
    <xf numFmtId="0" fontId="0" fillId="0" borderId="10" xfId="0" applyBorder="1" applyAlignment="1">
      <alignment horizontal="left" indent="4"/>
    </xf>
    <xf numFmtId="0" fontId="31" fillId="0" borderId="10" xfId="0" applyFont="1" applyBorder="1" applyAlignment="1">
      <alignment horizontal="left" indent="4"/>
    </xf>
    <xf numFmtId="0" fontId="31" fillId="0" borderId="10" xfId="0" applyFont="1" applyBorder="1" applyAlignment="1">
      <alignment horizontal="center"/>
    </xf>
    <xf numFmtId="0" fontId="31" fillId="0" borderId="1" xfId="0" applyFont="1" applyBorder="1"/>
    <xf numFmtId="0" fontId="31" fillId="0" borderId="2" xfId="0" applyFont="1" applyBorder="1" applyAlignment="1">
      <alignment horizontal="center"/>
    </xf>
    <xf numFmtId="0" fontId="31" fillId="0" borderId="3" xfId="0" applyFont="1" applyBorder="1" applyAlignment="1">
      <alignment horizontal="center"/>
    </xf>
    <xf numFmtId="0" fontId="31" fillId="0" borderId="1" xfId="0" applyFont="1" applyBorder="1" applyAlignment="1">
      <alignment horizontal="center"/>
    </xf>
    <xf numFmtId="0" fontId="31" fillId="0" borderId="3" xfId="0" applyFont="1" applyBorder="1"/>
    <xf numFmtId="0" fontId="0" fillId="26" borderId="10" xfId="0" applyFill="1" applyBorder="1" applyAlignment="1">
      <alignment horizontal="center"/>
    </xf>
    <xf numFmtId="0" fontId="0" fillId="2" borderId="5" xfId="0" applyFont="1" applyFill="1" applyBorder="1" applyAlignment="1">
      <alignment horizontal="left" indent="1"/>
    </xf>
    <xf numFmtId="0" fontId="3" fillId="2" borderId="6" xfId="0" applyFont="1" applyFill="1" applyBorder="1"/>
    <xf numFmtId="0" fontId="3" fillId="2" borderId="7" xfId="0" applyFont="1" applyFill="1" applyBorder="1"/>
    <xf numFmtId="0" fontId="0" fillId="2" borderId="6" xfId="0" applyFill="1" applyBorder="1"/>
    <xf numFmtId="0" fontId="0" fillId="2" borderId="7" xfId="0" applyFill="1" applyBorder="1"/>
    <xf numFmtId="0" fontId="1" fillId="27" borderId="40" xfId="0" applyFont="1" applyFill="1" applyBorder="1" applyAlignment="1">
      <alignment horizontal="left" indent="1"/>
    </xf>
    <xf numFmtId="0" fontId="1" fillId="27" borderId="41" xfId="0" applyFont="1" applyFill="1" applyBorder="1" applyAlignment="1">
      <alignment horizontal="center"/>
    </xf>
    <xf numFmtId="0" fontId="1" fillId="27" borderId="39" xfId="0" applyFont="1" applyFill="1" applyBorder="1" applyAlignment="1">
      <alignment horizontal="center"/>
    </xf>
    <xf numFmtId="0" fontId="0" fillId="2" borderId="2" xfId="0" applyFill="1" applyBorder="1" applyAlignment="1">
      <alignment horizontal="left" indent="1"/>
    </xf>
    <xf numFmtId="0" fontId="0" fillId="0" borderId="2" xfId="0" applyFill="1" applyBorder="1"/>
    <xf numFmtId="10" fontId="0" fillId="31" borderId="10" xfId="0" applyNumberFormat="1" applyFill="1" applyBorder="1" applyAlignment="1">
      <alignment horizontal="center"/>
    </xf>
    <xf numFmtId="0" fontId="0" fillId="31" borderId="10" xfId="0" applyFill="1" applyBorder="1" applyAlignment="1">
      <alignment horizontal="center"/>
    </xf>
    <xf numFmtId="0" fontId="0" fillId="0" borderId="1" xfId="0" applyBorder="1" applyAlignment="1">
      <alignment horizontal="right"/>
    </xf>
    <xf numFmtId="170" fontId="0" fillId="0" borderId="0" xfId="0" applyNumberForma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164" fontId="0" fillId="0" borderId="1" xfId="0" applyNumberFormat="1" applyBorder="1" applyAlignment="1">
      <alignment horizontal="center"/>
    </xf>
    <xf numFmtId="164" fontId="0" fillId="0" borderId="3" xfId="0" applyNumberFormat="1" applyBorder="1" applyAlignment="1">
      <alignment horizontal="center"/>
    </xf>
    <xf numFmtId="0" fontId="0" fillId="32" borderId="11" xfId="0" applyFill="1" applyBorder="1" applyAlignment="1">
      <alignment horizontal="center"/>
    </xf>
    <xf numFmtId="0" fontId="0" fillId="32" borderId="12"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0" fontId="0" fillId="0" borderId="0" xfId="0" applyAlignment="1">
      <alignment horizontal="center"/>
    </xf>
    <xf numFmtId="2" fontId="0" fillId="0" borderId="10" xfId="0" applyNumberFormat="1" applyBorder="1" applyAlignment="1">
      <alignment horizontal="center"/>
    </xf>
    <xf numFmtId="0" fontId="0" fillId="0" borderId="10" xfId="0" applyBorder="1" applyAlignment="1">
      <alignment horizontal="center"/>
    </xf>
    <xf numFmtId="0" fontId="0" fillId="0" borderId="10" xfId="0" applyNumberFormat="1" applyBorder="1" applyAlignment="1">
      <alignment horizontal="center"/>
    </xf>
    <xf numFmtId="0" fontId="1" fillId="27" borderId="1" xfId="0" applyFont="1" applyFill="1" applyBorder="1" applyAlignment="1">
      <alignment horizontal="left" vertical="center" indent="1"/>
    </xf>
    <xf numFmtId="0" fontId="11" fillId="0" borderId="10" xfId="0" applyFont="1" applyBorder="1" applyAlignment="1">
      <alignment horizontal="center" vertical="center"/>
    </xf>
    <xf numFmtId="2" fontId="0" fillId="0" borderId="0" xfId="0" applyNumberFormat="1" applyAlignment="1">
      <alignment horizontal="center"/>
    </xf>
    <xf numFmtId="0" fontId="0" fillId="32" borderId="7" xfId="0" applyFill="1" applyBorder="1" applyAlignment="1">
      <alignment horizontal="center"/>
    </xf>
    <xf numFmtId="0" fontId="0" fillId="32" borderId="8" xfId="0" applyFill="1" applyBorder="1" applyAlignment="1">
      <alignment horizontal="center"/>
    </xf>
    <xf numFmtId="0" fontId="0" fillId="32" borderId="5" xfId="0" applyFill="1" applyBorder="1" applyAlignment="1">
      <alignment horizontal="center"/>
    </xf>
    <xf numFmtId="0" fontId="0" fillId="32" borderId="9" xfId="0" applyFill="1" applyBorder="1" applyAlignment="1">
      <alignment horizontal="center"/>
    </xf>
    <xf numFmtId="0" fontId="0" fillId="32" borderId="30" xfId="0" applyFill="1" applyBorder="1" applyAlignment="1">
      <alignment horizontal="center"/>
    </xf>
    <xf numFmtId="0" fontId="0" fillId="32" borderId="35" xfId="0" applyFill="1" applyBorder="1" applyAlignment="1">
      <alignment horizontal="center"/>
    </xf>
    <xf numFmtId="0" fontId="0" fillId="0" borderId="21" xfId="0" applyNumberFormat="1" applyBorder="1" applyAlignment="1">
      <alignment horizontal="center"/>
    </xf>
    <xf numFmtId="0" fontId="0" fillId="0" borderId="19" xfId="0" applyNumberFormat="1" applyBorder="1" applyAlignment="1">
      <alignment horizontal="center"/>
    </xf>
    <xf numFmtId="0" fontId="0" fillId="32" borderId="42" xfId="0" applyFill="1" applyBorder="1" applyAlignment="1">
      <alignment horizontal="center"/>
    </xf>
    <xf numFmtId="0" fontId="0" fillId="32" borderId="43" xfId="0" applyFill="1" applyBorder="1" applyAlignment="1">
      <alignment horizontal="center"/>
    </xf>
    <xf numFmtId="0" fontId="0" fillId="2" borderId="23" xfId="0" applyFill="1" applyBorder="1" applyAlignment="1">
      <alignment horizontal="center"/>
    </xf>
    <xf numFmtId="164" fontId="0" fillId="0" borderId="23" xfId="0" applyNumberFormat="1" applyBorder="1" applyAlignment="1">
      <alignment horizontal="center"/>
    </xf>
    <xf numFmtId="164" fontId="0" fillId="0" borderId="7" xfId="0" applyNumberFormat="1" applyBorder="1" applyAlignment="1">
      <alignment horizontal="center"/>
    </xf>
    <xf numFmtId="0" fontId="0" fillId="0" borderId="1" xfId="0" applyBorder="1" applyAlignment="1">
      <alignment horizontal="left" vertical="center" indent="4"/>
    </xf>
    <xf numFmtId="173" fontId="0" fillId="0" borderId="10" xfId="0" applyNumberFormat="1" applyBorder="1" applyAlignment="1">
      <alignment horizontal="center"/>
    </xf>
    <xf numFmtId="173" fontId="0" fillId="0" borderId="10" xfId="0" applyNumberFormat="1" applyBorder="1" applyAlignment="1">
      <alignment horizontal="center" vertical="center"/>
    </xf>
    <xf numFmtId="169" fontId="0" fillId="0" borderId="10" xfId="0" applyNumberFormat="1" applyBorder="1" applyAlignment="1">
      <alignment horizontal="center"/>
    </xf>
    <xf numFmtId="0" fontId="0" fillId="2" borderId="1" xfId="0" applyFill="1" applyBorder="1" applyAlignment="1">
      <alignment horizontal="left" vertical="center" indent="1"/>
    </xf>
    <xf numFmtId="10" fontId="11" fillId="31" borderId="10" xfId="0" applyNumberFormat="1" applyFont="1" applyFill="1" applyBorder="1" applyAlignment="1">
      <alignment horizontal="center"/>
    </xf>
    <xf numFmtId="0" fontId="6" fillId="0" borderId="10" xfId="0" applyFont="1" applyBorder="1" applyAlignment="1">
      <alignment horizontal="center" vertical="center"/>
    </xf>
    <xf numFmtId="0" fontId="11" fillId="2" borderId="2" xfId="0" applyFont="1" applyFill="1" applyBorder="1" applyAlignment="1">
      <alignment horizontal="center" vertical="center"/>
    </xf>
    <xf numFmtId="0" fontId="0" fillId="0" borderId="0" xfId="0" applyAlignment="1">
      <alignment vertical="center"/>
    </xf>
    <xf numFmtId="10" fontId="0" fillId="31" borderId="10" xfId="0" applyNumberFormat="1" applyFill="1" applyBorder="1" applyAlignment="1">
      <alignment horizontal="center" vertical="center"/>
    </xf>
    <xf numFmtId="0" fontId="0" fillId="2" borderId="3" xfId="0" applyFill="1" applyBorder="1" applyAlignment="1">
      <alignment horizontal="center"/>
    </xf>
    <xf numFmtId="0" fontId="0" fillId="2" borderId="2" xfId="0" applyFill="1" applyBorder="1" applyAlignment="1">
      <alignment horizontal="center"/>
    </xf>
    <xf numFmtId="0" fontId="0" fillId="0" borderId="3" xfId="0" applyBorder="1" applyAlignment="1">
      <alignment horizontal="center"/>
    </xf>
    <xf numFmtId="0" fontId="0" fillId="2" borderId="10" xfId="0" applyFill="1" applyBorder="1" applyAlignment="1">
      <alignment horizontal="center"/>
    </xf>
    <xf numFmtId="0" fontId="0" fillId="0" borderId="10" xfId="0" applyBorder="1" applyAlignment="1">
      <alignment horizontal="center"/>
    </xf>
    <xf numFmtId="0" fontId="1" fillId="27" borderId="1" xfId="0" applyFont="1" applyFill="1" applyBorder="1" applyAlignment="1">
      <alignment horizontal="left" vertical="center" indent="1"/>
    </xf>
    <xf numFmtId="0" fontId="0" fillId="0" borderId="1" xfId="0" applyBorder="1" applyAlignment="1">
      <alignment horizontal="left" indent="1"/>
    </xf>
    <xf numFmtId="0" fontId="3" fillId="2" borderId="2" xfId="0" applyFont="1" applyFill="1" applyBorder="1"/>
    <xf numFmtId="0" fontId="3" fillId="2" borderId="3" xfId="0" applyFont="1" applyFill="1" applyBorder="1"/>
    <xf numFmtId="0" fontId="3" fillId="2" borderId="1" xfId="0" applyFont="1" applyFill="1" applyBorder="1" applyAlignment="1">
      <alignment horizontal="left" indent="1"/>
    </xf>
    <xf numFmtId="0" fontId="1" fillId="27" borderId="2" xfId="0" applyFont="1" applyFill="1" applyBorder="1" applyAlignment="1">
      <alignment horizontal="center" shrinkToFit="1"/>
    </xf>
    <xf numFmtId="0" fontId="0" fillId="0" borderId="23" xfId="0"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0" fontId="0" fillId="0" borderId="1" xfId="0" applyBorder="1" applyAlignment="1">
      <alignment horizontal="center"/>
    </xf>
    <xf numFmtId="0" fontId="0" fillId="2" borderId="10" xfId="0" applyFill="1" applyBorder="1" applyAlignment="1">
      <alignment horizontal="center"/>
    </xf>
    <xf numFmtId="2" fontId="0" fillId="0" borderId="10" xfId="0" applyNumberFormat="1" applyBorder="1" applyAlignment="1">
      <alignment horizontal="center"/>
    </xf>
    <xf numFmtId="0" fontId="0" fillId="0" borderId="10" xfId="0"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0" borderId="10" xfId="0" quotePrefix="1" applyBorder="1" applyAlignment="1">
      <alignment horizontal="center"/>
    </xf>
    <xf numFmtId="0" fontId="0" fillId="0" borderId="1" xfId="0" applyBorder="1" applyAlignment="1">
      <alignment horizontal="left" indent="1"/>
    </xf>
    <xf numFmtId="0" fontId="0" fillId="24" borderId="7" xfId="0" applyFill="1" applyBorder="1" applyAlignment="1">
      <alignment horizontal="center"/>
    </xf>
    <xf numFmtId="0" fontId="0" fillId="0" borderId="3" xfId="0" quotePrefix="1" applyBorder="1" applyAlignment="1">
      <alignment horizontal="center"/>
    </xf>
    <xf numFmtId="0" fontId="0" fillId="33" borderId="10" xfId="0" applyFill="1" applyBorder="1" applyAlignment="1">
      <alignment horizontal="center"/>
    </xf>
    <xf numFmtId="170" fontId="0" fillId="0" borderId="10" xfId="0" applyNumberFormat="1" applyFill="1" applyBorder="1" applyAlignment="1">
      <alignment horizontal="center"/>
    </xf>
    <xf numFmtId="170" fontId="0" fillId="0" borderId="0" xfId="0" applyNumberFormat="1" applyFill="1" applyBorder="1" applyAlignment="1">
      <alignment horizontal="center"/>
    </xf>
    <xf numFmtId="0" fontId="0" fillId="33" borderId="1" xfId="0" applyFill="1" applyBorder="1" applyAlignment="1">
      <alignment horizontal="center"/>
    </xf>
    <xf numFmtId="0" fontId="34" fillId="2" borderId="19" xfId="0" applyFont="1" applyFill="1" applyBorder="1" applyAlignment="1">
      <alignment horizontal="center"/>
    </xf>
    <xf numFmtId="0" fontId="34" fillId="2" borderId="10" xfId="0" applyFont="1" applyFill="1" applyBorder="1" applyAlignment="1">
      <alignment horizontal="center"/>
    </xf>
    <xf numFmtId="0" fontId="0" fillId="0" borderId="0" xfId="0" applyNumberFormat="1"/>
    <xf numFmtId="0" fontId="24" fillId="2" borderId="4" xfId="0" applyFont="1" applyFill="1" applyBorder="1" applyAlignment="1">
      <alignment horizontal="center"/>
    </xf>
    <xf numFmtId="0" fontId="24" fillId="2" borderId="9" xfId="0" applyFont="1" applyFill="1" applyBorder="1" applyAlignment="1">
      <alignment horizontal="center"/>
    </xf>
    <xf numFmtId="0" fontId="24" fillId="2" borderId="44" xfId="0" applyFont="1" applyFill="1" applyBorder="1" applyAlignment="1">
      <alignment horizontal="center"/>
    </xf>
    <xf numFmtId="0" fontId="24" fillId="2" borderId="36" xfId="0" applyFont="1" applyFill="1" applyBorder="1" applyAlignment="1">
      <alignment horizontal="center"/>
    </xf>
    <xf numFmtId="2" fontId="35" fillId="20" borderId="10" xfId="0" applyNumberFormat="1" applyFont="1" applyFill="1" applyBorder="1" applyAlignment="1">
      <alignment horizontal="center"/>
    </xf>
    <xf numFmtId="0" fontId="0" fillId="0" borderId="0" xfId="0" applyFill="1" applyBorder="1"/>
    <xf numFmtId="2" fontId="13" fillId="2" borderId="10" xfId="0" applyNumberFormat="1" applyFont="1" applyFill="1" applyBorder="1" applyAlignment="1">
      <alignment horizontal="center"/>
    </xf>
    <xf numFmtId="0" fontId="37" fillId="0" borderId="0" xfId="0" applyFont="1"/>
    <xf numFmtId="0" fontId="0" fillId="2" borderId="2"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9" fillId="0" borderId="0" xfId="0" applyFont="1" applyAlignment="1">
      <alignment horizontal="center"/>
    </xf>
    <xf numFmtId="0" fontId="0" fillId="0" borderId="10" xfId="0" applyBorder="1" applyAlignment="1">
      <alignment horizontal="center"/>
    </xf>
    <xf numFmtId="0" fontId="0" fillId="0" borderId="10" xfId="0" applyNumberFormat="1" applyBorder="1" applyAlignment="1">
      <alignment horizontal="center"/>
    </xf>
    <xf numFmtId="0" fontId="0" fillId="0" borderId="1" xfId="0" applyBorder="1" applyAlignment="1">
      <alignment horizontal="left" indent="1"/>
    </xf>
    <xf numFmtId="0" fontId="0" fillId="2" borderId="2" xfId="0" applyFill="1" applyBorder="1" applyAlignment="1">
      <alignment horizontal="center"/>
    </xf>
    <xf numFmtId="0" fontId="0" fillId="2" borderId="3" xfId="0" applyFill="1" applyBorder="1" applyAlignment="1">
      <alignment horizontal="center"/>
    </xf>
    <xf numFmtId="0" fontId="0" fillId="0" borderId="3" xfId="0" applyBorder="1" applyAlignment="1">
      <alignment horizontal="center"/>
    </xf>
    <xf numFmtId="0" fontId="0" fillId="2" borderId="10" xfId="0" applyFill="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2" borderId="2" xfId="0" applyFill="1" applyBorder="1" applyAlignment="1">
      <alignment horizontal="left"/>
    </xf>
    <xf numFmtId="0" fontId="1" fillId="27" borderId="10" xfId="0" applyFont="1" applyFill="1" applyBorder="1" applyAlignment="1">
      <alignment horizontal="center"/>
    </xf>
    <xf numFmtId="0" fontId="0" fillId="0" borderId="1" xfId="0" applyBorder="1" applyAlignment="1">
      <alignment horizontal="left" indent="4"/>
    </xf>
    <xf numFmtId="0" fontId="0" fillId="17" borderId="0" xfId="0" applyFill="1" applyBorder="1" applyAlignment="1">
      <alignment horizontal="center"/>
    </xf>
    <xf numFmtId="18" fontId="0" fillId="0" borderId="1" xfId="0" applyNumberFormat="1" applyFill="1" applyBorder="1" applyAlignment="1">
      <alignment horizontal="center"/>
    </xf>
    <xf numFmtId="2" fontId="0" fillId="2" borderId="10" xfId="0" applyNumberFormat="1" applyFill="1" applyBorder="1" applyAlignment="1">
      <alignment horizontal="center"/>
    </xf>
    <xf numFmtId="0" fontId="0" fillId="0" borderId="2" xfId="0" applyBorder="1" applyAlignment="1">
      <alignment horizontal="left"/>
    </xf>
    <xf numFmtId="0" fontId="3" fillId="0" borderId="2" xfId="0" applyFont="1" applyBorder="1"/>
    <xf numFmtId="0" fontId="0" fillId="0" borderId="5" xfId="0" applyBorder="1" applyAlignment="1">
      <alignment horizontal="left" indent="4"/>
    </xf>
    <xf numFmtId="0" fontId="0" fillId="0" borderId="10" xfId="0" applyBorder="1" applyAlignment="1">
      <alignment horizontal="center"/>
    </xf>
    <xf numFmtId="164" fontId="0" fillId="0" borderId="1" xfId="0" applyNumberFormat="1" applyBorder="1" applyAlignment="1">
      <alignment horizontal="center"/>
    </xf>
    <xf numFmtId="164" fontId="0" fillId="0" borderId="10" xfId="0" applyNumberFormat="1" applyBorder="1" applyAlignment="1">
      <alignment horizontal="center"/>
    </xf>
    <xf numFmtId="0" fontId="0" fillId="32" borderId="29" xfId="0" applyFill="1" applyBorder="1" applyAlignment="1">
      <alignment horizontal="center"/>
    </xf>
    <xf numFmtId="165" fontId="0" fillId="2" borderId="2" xfId="0" applyNumberFormat="1" applyFill="1" applyBorder="1" applyAlignment="1">
      <alignment horizontal="center"/>
    </xf>
    <xf numFmtId="0" fontId="7" fillId="0" borderId="1" xfId="0" applyFont="1" applyBorder="1" applyAlignment="1">
      <alignment horizontal="left" indent="1"/>
    </xf>
    <xf numFmtId="0" fontId="0" fillId="2" borderId="2" xfId="0" applyNumberFormat="1" applyFill="1" applyBorder="1" applyAlignment="1">
      <alignment horizontal="center"/>
    </xf>
    <xf numFmtId="0" fontId="1" fillId="27" borderId="3" xfId="0" applyFont="1" applyFill="1" applyBorder="1" applyAlignment="1">
      <alignment horizontal="center"/>
    </xf>
    <xf numFmtId="0" fontId="1" fillId="27" borderId="24" xfId="0" applyFont="1" applyFill="1" applyBorder="1" applyAlignment="1">
      <alignment horizontal="center"/>
    </xf>
    <xf numFmtId="0" fontId="1" fillId="27" borderId="28" xfId="0" applyFont="1" applyFill="1" applyBorder="1" applyAlignment="1">
      <alignment horizontal="center"/>
    </xf>
    <xf numFmtId="0" fontId="1" fillId="27" borderId="26" xfId="0" applyFont="1" applyFill="1" applyBorder="1" applyAlignment="1">
      <alignment horizontal="center" shrinkToFit="1"/>
    </xf>
    <xf numFmtId="0" fontId="1" fillId="27" borderId="28" xfId="0" applyFont="1" applyFill="1" applyBorder="1" applyAlignment="1">
      <alignment horizontal="center" shrinkToFit="1"/>
    </xf>
    <xf numFmtId="0" fontId="1" fillId="27" borderId="26" xfId="0" applyFont="1" applyFill="1" applyBorder="1" applyAlignment="1">
      <alignment horizontal="center"/>
    </xf>
    <xf numFmtId="10" fontId="0" fillId="0" borderId="3" xfId="0" applyNumberFormat="1" applyBorder="1" applyAlignment="1">
      <alignment horizontal="center"/>
    </xf>
    <xf numFmtId="0" fontId="0" fillId="0" borderId="23" xfId="0" applyNumberFormat="1" applyBorder="1" applyAlignment="1">
      <alignment horizontal="center"/>
    </xf>
    <xf numFmtId="0" fontId="0" fillId="26" borderId="23" xfId="0" applyNumberFormat="1" applyFill="1" applyBorder="1" applyAlignment="1">
      <alignment horizontal="center"/>
    </xf>
    <xf numFmtId="165" fontId="0" fillId="0" borderId="19" xfId="0" applyNumberFormat="1" applyBorder="1" applyAlignment="1">
      <alignment horizontal="center"/>
    </xf>
    <xf numFmtId="165" fontId="0" fillId="26" borderId="19" xfId="0" applyNumberFormat="1" applyFill="1" applyBorder="1" applyAlignment="1">
      <alignment horizontal="center"/>
    </xf>
    <xf numFmtId="10" fontId="0" fillId="26" borderId="21" xfId="0" applyNumberFormat="1" applyFill="1" applyBorder="1" applyAlignment="1">
      <alignment horizontal="center"/>
    </xf>
    <xf numFmtId="8" fontId="0" fillId="0" borderId="21" xfId="0" applyNumberFormat="1" applyBorder="1" applyAlignment="1">
      <alignment horizontal="center"/>
    </xf>
    <xf numFmtId="0" fontId="0" fillId="26" borderId="23" xfId="0" applyFill="1" applyBorder="1" applyAlignment="1">
      <alignment horizontal="center"/>
    </xf>
    <xf numFmtId="174" fontId="0" fillId="0" borderId="23" xfId="0" applyNumberFormat="1" applyBorder="1" applyAlignment="1">
      <alignment horizontal="center"/>
    </xf>
    <xf numFmtId="174" fontId="0" fillId="26" borderId="23" xfId="0" applyNumberFormat="1" applyFill="1" applyBorder="1" applyAlignment="1">
      <alignment horizontal="center"/>
    </xf>
    <xf numFmtId="0" fontId="0" fillId="26" borderId="19" xfId="0" applyFill="1" applyBorder="1" applyAlignment="1">
      <alignment horizontal="center"/>
    </xf>
    <xf numFmtId="2" fontId="0" fillId="0" borderId="3" xfId="0" applyNumberFormat="1" applyBorder="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15" fillId="27" borderId="3" xfId="0" applyFont="1" applyFill="1" applyBorder="1" applyAlignment="1">
      <alignment vertical="center" wrapText="1"/>
    </xf>
    <xf numFmtId="49" fontId="0" fillId="0" borderId="10" xfId="0" applyNumberFormat="1" applyBorder="1" applyAlignment="1">
      <alignment horizontal="center"/>
    </xf>
    <xf numFmtId="0" fontId="0" fillId="0" borderId="0" xfId="0" applyFont="1" applyAlignment="1">
      <alignment horizontal="left" indent="1"/>
    </xf>
    <xf numFmtId="0" fontId="4" fillId="0" borderId="0" xfId="1" applyAlignment="1">
      <alignment horizontal="left" indent="1"/>
    </xf>
    <xf numFmtId="0" fontId="40" fillId="0" borderId="0" xfId="1" applyFont="1" applyAlignment="1">
      <alignment horizontal="left" indent="1"/>
    </xf>
    <xf numFmtId="0" fontId="38" fillId="0" borderId="0" xfId="0" applyFont="1" applyAlignment="1">
      <alignment horizontal="left" indent="1"/>
    </xf>
    <xf numFmtId="0" fontId="7" fillId="32" borderId="8" xfId="0" applyFont="1" applyFill="1" applyBorder="1" applyAlignment="1">
      <alignment horizontal="center"/>
    </xf>
    <xf numFmtId="164" fontId="0" fillId="0" borderId="29" xfId="0" applyNumberFormat="1" applyBorder="1" applyAlignment="1">
      <alignment horizontal="center"/>
    </xf>
    <xf numFmtId="164" fontId="0" fillId="0" borderId="11" xfId="0" applyNumberFormat="1" applyBorder="1" applyAlignment="1">
      <alignment horizontal="center"/>
    </xf>
    <xf numFmtId="0" fontId="0" fillId="2" borderId="3" xfId="0" applyFill="1" applyBorder="1" applyAlignment="1">
      <alignment horizontal="right"/>
    </xf>
    <xf numFmtId="2" fontId="0" fillId="0" borderId="3" xfId="0" applyNumberFormat="1" applyBorder="1" applyAlignment="1">
      <alignment horizontal="left"/>
    </xf>
    <xf numFmtId="0" fontId="0" fillId="0" borderId="0" xfId="0" applyAlignment="1">
      <alignment horizontal="left" indent="2"/>
    </xf>
    <xf numFmtId="0" fontId="42" fillId="0" borderId="0" xfId="0" applyFont="1" applyAlignment="1">
      <alignment horizontal="left"/>
    </xf>
    <xf numFmtId="0" fontId="42" fillId="0" borderId="0" xfId="0" applyFont="1"/>
    <xf numFmtId="0" fontId="0" fillId="0" borderId="0" xfId="0" applyAlignment="1">
      <alignment horizontal="left" indent="4"/>
    </xf>
    <xf numFmtId="0" fontId="0" fillId="0" borderId="0" xfId="0" quotePrefix="1" applyAlignment="1">
      <alignment horizontal="left" indent="2"/>
    </xf>
    <xf numFmtId="0" fontId="0" fillId="0" borderId="1" xfId="0" applyBorder="1" applyAlignment="1">
      <alignment horizontal="center"/>
    </xf>
    <xf numFmtId="0" fontId="0" fillId="12" borderId="10" xfId="0" applyFill="1" applyBorder="1" applyAlignment="1">
      <alignment horizontal="center"/>
    </xf>
    <xf numFmtId="0" fontId="0" fillId="17" borderId="10" xfId="0" applyFill="1" applyBorder="1" applyAlignment="1">
      <alignment horizontal="center"/>
    </xf>
    <xf numFmtId="0" fontId="0" fillId="18" borderId="10" xfId="0" applyFill="1" applyBorder="1" applyAlignment="1">
      <alignment horizontal="center"/>
    </xf>
    <xf numFmtId="0" fontId="0" fillId="2" borderId="10" xfId="0" applyFill="1" applyBorder="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164" fontId="0" fillId="0" borderId="2" xfId="0" applyNumberFormat="1" applyBorder="1" applyAlignment="1">
      <alignment horizontal="left"/>
    </xf>
    <xf numFmtId="164" fontId="0" fillId="0" borderId="3" xfId="0" applyNumberFormat="1" applyBorder="1" applyAlignment="1">
      <alignment horizontal="left"/>
    </xf>
    <xf numFmtId="0" fontId="0" fillId="2" borderId="5" xfId="0" applyFont="1" applyFill="1"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0" borderId="3" xfId="0" applyBorder="1" applyAlignment="1">
      <alignment horizontal="center" vertical="center"/>
    </xf>
    <xf numFmtId="0" fontId="25" fillId="25" borderId="10" xfId="0" applyFont="1" applyFill="1" applyBorder="1" applyAlignment="1">
      <alignment horizontal="center"/>
    </xf>
    <xf numFmtId="0" fontId="0" fillId="20" borderId="10" xfId="0" applyFill="1" applyBorder="1" applyAlignment="1">
      <alignment horizontal="center"/>
    </xf>
    <xf numFmtId="0" fontId="0" fillId="3" borderId="10" xfId="0" applyFill="1" applyBorder="1" applyAlignment="1">
      <alignment horizontal="center"/>
    </xf>
    <xf numFmtId="0" fontId="13" fillId="16" borderId="10" xfId="0" applyFont="1" applyFill="1" applyBorder="1" applyAlignment="1">
      <alignment horizontal="center"/>
    </xf>
    <xf numFmtId="0" fontId="43" fillId="19" borderId="10" xfId="0" applyFont="1" applyFill="1" applyBorder="1" applyAlignment="1">
      <alignment horizontal="center"/>
    </xf>
    <xf numFmtId="2" fontId="0" fillId="0" borderId="3" xfId="0" applyNumberFormat="1" applyBorder="1" applyAlignment="1">
      <alignment horizontal="center"/>
    </xf>
    <xf numFmtId="0" fontId="44" fillId="25" borderId="10" xfId="0" applyFont="1" applyFill="1" applyBorder="1" applyAlignment="1">
      <alignment horizontal="center"/>
    </xf>
    <xf numFmtId="0" fontId="25" fillId="25" borderId="10" xfId="0" quotePrefix="1" applyFont="1" applyFill="1" applyBorder="1" applyAlignment="1">
      <alignment horizontal="center"/>
    </xf>
    <xf numFmtId="0" fontId="0" fillId="2" borderId="8" xfId="0" applyFont="1" applyFill="1" applyBorder="1" applyAlignment="1">
      <alignment horizontal="center"/>
    </xf>
    <xf numFmtId="0" fontId="13" fillId="2" borderId="10" xfId="0" applyFont="1" applyFill="1" applyBorder="1" applyAlignment="1">
      <alignment horizontal="center"/>
    </xf>
    <xf numFmtId="0" fontId="0" fillId="0" borderId="10" xfId="0" applyBorder="1" applyAlignment="1">
      <alignment horizontal="center"/>
    </xf>
    <xf numFmtId="0" fontId="16" fillId="0" borderId="0" xfId="0" applyFont="1" applyBorder="1" applyAlignment="1">
      <alignment horizontal="left" indent="1"/>
    </xf>
    <xf numFmtId="167" fontId="0" fillId="0" borderId="3" xfId="0" applyNumberFormat="1" applyBorder="1" applyAlignment="1">
      <alignment horizontal="center" shrinkToFit="1"/>
    </xf>
    <xf numFmtId="0" fontId="4" fillId="0" borderId="0" xfId="1" applyAlignment="1">
      <alignment horizontal="left"/>
    </xf>
    <xf numFmtId="0" fontId="3" fillId="0" borderId="0" xfId="0" applyFont="1" applyAlignment="1"/>
    <xf numFmtId="2" fontId="0" fillId="0" borderId="23" xfId="0" applyNumberFormat="1" applyBorder="1" applyAlignment="1">
      <alignment horizontal="center"/>
    </xf>
    <xf numFmtId="0" fontId="0" fillId="17" borderId="1"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0" fontId="0" fillId="2" borderId="10" xfId="0" applyFill="1" applyBorder="1" applyAlignment="1">
      <alignment horizontal="center" shrinkToFit="1"/>
    </xf>
    <xf numFmtId="0" fontId="0" fillId="0" borderId="0" xfId="0" applyBorder="1" applyAlignment="1">
      <alignment horizontal="center"/>
    </xf>
    <xf numFmtId="0" fontId="0" fillId="17" borderId="10" xfId="0" applyFill="1" applyBorder="1" applyAlignment="1">
      <alignment horizontal="left" indent="1"/>
    </xf>
    <xf numFmtId="0" fontId="0" fillId="2" borderId="10" xfId="0" applyFill="1" applyBorder="1" applyAlignment="1">
      <alignment horizontal="left" indent="1"/>
    </xf>
    <xf numFmtId="0" fontId="0" fillId="17" borderId="1" xfId="0" applyNumberFormat="1" applyFill="1" applyBorder="1" applyAlignment="1">
      <alignment horizontal="center"/>
    </xf>
    <xf numFmtId="0" fontId="0" fillId="17" borderId="1" xfId="0" quotePrefix="1" applyFill="1" applyBorder="1" applyAlignment="1">
      <alignment horizontal="center"/>
    </xf>
    <xf numFmtId="0" fontId="45" fillId="17" borderId="1" xfId="0" applyFont="1" applyFill="1" applyBorder="1" applyAlignment="1">
      <alignment horizontal="center"/>
    </xf>
    <xf numFmtId="0" fontId="0" fillId="17" borderId="10" xfId="0" applyFill="1" applyBorder="1" applyAlignment="1">
      <alignment horizontal="left" indent="4"/>
    </xf>
    <xf numFmtId="0" fontId="0" fillId="34" borderId="10" xfId="0" quotePrefix="1" applyFill="1" applyBorder="1" applyAlignment="1">
      <alignment horizontal="center"/>
    </xf>
    <xf numFmtId="0" fontId="0" fillId="31" borderId="1" xfId="0" quotePrefix="1" applyFill="1" applyBorder="1" applyAlignment="1">
      <alignment horizontal="center"/>
    </xf>
    <xf numFmtId="0" fontId="0" fillId="34" borderId="1" xfId="0" quotePrefix="1" applyFill="1" applyBorder="1" applyAlignment="1">
      <alignment horizontal="center"/>
    </xf>
    <xf numFmtId="0" fontId="0" fillId="34" borderId="1" xfId="0" quotePrefix="1" applyNumberFormat="1" applyFill="1" applyBorder="1" applyAlignment="1">
      <alignment horizontal="center"/>
    </xf>
    <xf numFmtId="0" fontId="0" fillId="31" borderId="1" xfId="0" quotePrefix="1" applyNumberFormat="1" applyFill="1" applyBorder="1" applyAlignment="1">
      <alignment horizontal="center"/>
    </xf>
    <xf numFmtId="164" fontId="0" fillId="17" borderId="1" xfId="0" applyNumberFormat="1" applyFill="1" applyBorder="1" applyAlignment="1">
      <alignment horizontal="center"/>
    </xf>
    <xf numFmtId="164" fontId="0" fillId="2" borderId="1" xfId="0" applyNumberFormat="1" applyFill="1" applyBorder="1" applyAlignment="1">
      <alignment horizontal="center"/>
    </xf>
    <xf numFmtId="2" fontId="0" fillId="17" borderId="1" xfId="0" applyNumberFormat="1" applyFill="1" applyBorder="1" applyAlignment="1">
      <alignment horizontal="center"/>
    </xf>
    <xf numFmtId="0" fontId="24" fillId="17" borderId="3" xfId="0" applyNumberFormat="1" applyFont="1" applyFill="1" applyBorder="1" applyAlignment="1">
      <alignment horizontal="center"/>
    </xf>
    <xf numFmtId="0" fontId="24" fillId="34" borderId="3" xfId="0" applyNumberFormat="1" applyFont="1" applyFill="1" applyBorder="1" applyAlignment="1">
      <alignment horizontal="center"/>
    </xf>
    <xf numFmtId="0" fontId="24" fillId="2" borderId="3" xfId="0" applyNumberFormat="1" applyFont="1" applyFill="1" applyBorder="1" applyAlignment="1">
      <alignment horizontal="center"/>
    </xf>
    <xf numFmtId="0" fontId="24" fillId="31" borderId="3" xfId="0" applyNumberFormat="1" applyFont="1" applyFill="1" applyBorder="1" applyAlignment="1">
      <alignment horizontal="center"/>
    </xf>
    <xf numFmtId="0" fontId="46" fillId="0" borderId="0" xfId="0" applyFont="1" applyAlignment="1">
      <alignment horizontal="left" indent="1"/>
    </xf>
    <xf numFmtId="0" fontId="47" fillId="0" borderId="0" xfId="0" applyFont="1" applyAlignment="1">
      <alignment horizontal="left" indent="1"/>
    </xf>
    <xf numFmtId="0" fontId="48" fillId="0" borderId="0" xfId="0" applyFont="1" applyAlignment="1">
      <alignment horizontal="left" indent="1"/>
    </xf>
    <xf numFmtId="0" fontId="19" fillId="0" borderId="0" xfId="0" applyFont="1" applyAlignment="1">
      <alignment horizontal="center"/>
    </xf>
    <xf numFmtId="2" fontId="0" fillId="0" borderId="3" xfId="0" applyNumberFormat="1" applyBorder="1" applyAlignment="1">
      <alignment horizontal="center"/>
    </xf>
    <xf numFmtId="0" fontId="0" fillId="35" borderId="0" xfId="0" applyFill="1"/>
    <xf numFmtId="0" fontId="11" fillId="35" borderId="0" xfId="0" applyFont="1" applyFill="1" applyAlignment="1">
      <alignment horizontal="left" indent="1"/>
    </xf>
    <xf numFmtId="0" fontId="11" fillId="35" borderId="0" xfId="0" applyFont="1" applyFill="1" applyBorder="1" applyAlignment="1">
      <alignment horizontal="left" indent="1"/>
    </xf>
    <xf numFmtId="0" fontId="13" fillId="0" borderId="19" xfId="0" quotePrefix="1" applyFont="1" applyBorder="1" applyAlignment="1">
      <alignment horizontal="center"/>
    </xf>
    <xf numFmtId="0" fontId="0" fillId="0" borderId="0" xfId="0" applyAlignment="1">
      <alignment horizontal="right"/>
    </xf>
    <xf numFmtId="178" fontId="0" fillId="0" borderId="0" xfId="0" applyNumberFormat="1" applyBorder="1" applyAlignment="1">
      <alignment horizontal="center"/>
    </xf>
    <xf numFmtId="2" fontId="0" fillId="2" borderId="1" xfId="0" applyNumberFormat="1" applyFill="1" applyBorder="1" applyAlignment="1">
      <alignment horizontal="center"/>
    </xf>
    <xf numFmtId="173" fontId="0" fillId="17" borderId="1" xfId="0" applyNumberFormat="1" applyFill="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10" xfId="0" applyBorder="1" applyAlignment="1">
      <alignment horizontal="center"/>
    </xf>
    <xf numFmtId="0" fontId="0" fillId="0" borderId="10" xfId="0" quotePrefix="1"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0" borderId="0" xfId="0" applyFont="1" applyBorder="1" applyAlignment="1">
      <alignment horizontal="right" indent="1"/>
    </xf>
    <xf numFmtId="0" fontId="0" fillId="0" borderId="10" xfId="0" applyFill="1" applyBorder="1" applyAlignment="1">
      <alignment horizontal="left" indent="1"/>
    </xf>
    <xf numFmtId="178" fontId="0" fillId="0" borderId="1" xfId="0" applyNumberFormat="1" applyFill="1" applyBorder="1" applyAlignment="1">
      <alignment horizontal="center"/>
    </xf>
    <xf numFmtId="0" fontId="24" fillId="0" borderId="3" xfId="0" applyNumberFormat="1" applyFont="1" applyFill="1" applyBorder="1" applyAlignment="1">
      <alignment horizontal="center"/>
    </xf>
    <xf numFmtId="0" fontId="0" fillId="0" borderId="0" xfId="0" applyFont="1" applyBorder="1" applyAlignment="1">
      <alignment horizontal="right" indent="1"/>
    </xf>
    <xf numFmtId="0" fontId="11" fillId="0" borderId="0" xfId="0" applyFont="1" applyBorder="1" applyAlignment="1">
      <alignment horizontal="center"/>
    </xf>
    <xf numFmtId="0" fontId="38" fillId="0" borderId="0" xfId="0" applyFont="1" applyBorder="1" applyAlignment="1">
      <alignment horizontal="center"/>
    </xf>
    <xf numFmtId="178" fontId="0" fillId="0" borderId="4" xfId="0" applyNumberFormat="1" applyBorder="1" applyAlignment="1">
      <alignment horizontal="center" shrinkToFit="1"/>
    </xf>
    <xf numFmtId="178" fontId="0" fillId="0" borderId="0" xfId="0" applyNumberFormat="1" applyBorder="1" applyAlignment="1">
      <alignment horizontal="center" shrinkToFit="1"/>
    </xf>
    <xf numFmtId="180" fontId="0" fillId="0" borderId="0" xfId="0" applyNumberFormat="1" applyBorder="1" applyAlignment="1">
      <alignment horizontal="center" shrinkToFit="1"/>
    </xf>
    <xf numFmtId="0" fontId="11" fillId="0" borderId="0" xfId="0" applyFont="1" applyAlignment="1">
      <alignment horizontal="right" indent="4"/>
    </xf>
    <xf numFmtId="0" fontId="3" fillId="0" borderId="0" xfId="0" applyFont="1" applyBorder="1"/>
    <xf numFmtId="178" fontId="3" fillId="0" borderId="2" xfId="0" applyNumberFormat="1" applyFont="1" applyBorder="1" applyAlignment="1">
      <alignment horizontal="center" shrinkToFit="1"/>
    </xf>
    <xf numFmtId="0" fontId="51" fillId="0" borderId="45" xfId="0" applyFont="1" applyBorder="1" applyAlignment="1">
      <alignment horizontal="center"/>
    </xf>
    <xf numFmtId="0" fontId="0" fillId="0" borderId="10" xfId="0" applyBorder="1" applyAlignment="1">
      <alignment horizontal="center"/>
    </xf>
    <xf numFmtId="169" fontId="0" fillId="17" borderId="1" xfId="0" applyNumberFormat="1" applyFill="1" applyBorder="1" applyAlignment="1">
      <alignment horizontal="center"/>
    </xf>
    <xf numFmtId="169" fontId="0" fillId="2" borderId="1" xfId="0" applyNumberFormat="1" applyFill="1" applyBorder="1" applyAlignment="1">
      <alignment horizontal="center"/>
    </xf>
    <xf numFmtId="0" fontId="0" fillId="0" borderId="10" xfId="0" applyBorder="1" applyAlignment="1">
      <alignment horizontal="center"/>
    </xf>
    <xf numFmtId="0" fontId="0" fillId="0" borderId="0" xfId="0" applyFill="1" applyAlignment="1">
      <alignment horizontal="left" indent="1"/>
    </xf>
    <xf numFmtId="0" fontId="0" fillId="13" borderId="10" xfId="0" applyFill="1" applyBorder="1" applyAlignment="1">
      <alignment horizontal="center"/>
    </xf>
    <xf numFmtId="0" fontId="23" fillId="21" borderId="10" xfId="0" applyFont="1" applyFill="1" applyBorder="1" applyAlignment="1">
      <alignment horizontal="center"/>
    </xf>
    <xf numFmtId="0" fontId="23" fillId="24" borderId="10" xfId="0" applyFont="1" applyFill="1" applyBorder="1" applyAlignment="1">
      <alignment horizontal="center"/>
    </xf>
    <xf numFmtId="0" fontId="23" fillId="23" borderId="10" xfId="0" applyFont="1" applyFill="1" applyBorder="1" applyAlignment="1">
      <alignment horizontal="center"/>
    </xf>
    <xf numFmtId="0" fontId="23" fillId="22" borderId="10" xfId="0" applyFont="1" applyFill="1" applyBorder="1" applyAlignment="1">
      <alignment horizontal="center"/>
    </xf>
    <xf numFmtId="0" fontId="0" fillId="14" borderId="10" xfId="0" applyFill="1" applyBorder="1" applyAlignment="1">
      <alignment horizontal="center"/>
    </xf>
    <xf numFmtId="0" fontId="23" fillId="4" borderId="10" xfId="0" applyFont="1" applyFill="1" applyBorder="1" applyAlignment="1">
      <alignment horizontal="center"/>
    </xf>
    <xf numFmtId="0" fontId="0" fillId="2" borderId="1" xfId="0" applyFill="1" applyBorder="1" applyAlignment="1">
      <alignment horizontal="center"/>
    </xf>
    <xf numFmtId="0" fontId="0" fillId="17" borderId="1" xfId="0" applyFill="1" applyBorder="1" applyAlignment="1">
      <alignment horizontal="center"/>
    </xf>
    <xf numFmtId="2" fontId="0" fillId="2" borderId="1" xfId="0" applyNumberFormat="1" applyFill="1" applyBorder="1" applyAlignment="1">
      <alignment horizontal="center"/>
    </xf>
    <xf numFmtId="173" fontId="0" fillId="2" borderId="1" xfId="0" applyNumberFormat="1" applyFill="1" applyBorder="1" applyAlignment="1">
      <alignment horizontal="center"/>
    </xf>
    <xf numFmtId="0" fontId="0" fillId="17" borderId="1" xfId="0" applyNumberFormat="1" applyFill="1" applyBorder="1" applyAlignment="1">
      <alignment horizontal="center"/>
    </xf>
    <xf numFmtId="0" fontId="0" fillId="2" borderId="1" xfId="0" applyNumberFormat="1" applyFill="1" applyBorder="1" applyAlignment="1">
      <alignment horizontal="center"/>
    </xf>
    <xf numFmtId="10" fontId="0" fillId="2" borderId="1" xfId="0" applyNumberFormat="1" applyFill="1" applyBorder="1" applyAlignment="1">
      <alignment horizontal="center"/>
    </xf>
    <xf numFmtId="0" fontId="52" fillId="0" borderId="0" xfId="0" applyFont="1" applyBorder="1" applyAlignment="1">
      <alignment horizontal="center"/>
    </xf>
    <xf numFmtId="0" fontId="0" fillId="28" borderId="10" xfId="0" applyFill="1" applyBorder="1" applyAlignment="1">
      <alignment horizontal="center"/>
    </xf>
    <xf numFmtId="0" fontId="13" fillId="28" borderId="10" xfId="0" applyFont="1" applyFill="1" applyBorder="1" applyAlignment="1">
      <alignment horizontal="center" vertical="center"/>
    </xf>
    <xf numFmtId="0" fontId="0" fillId="0" borderId="5" xfId="0" applyBorder="1" applyAlignment="1">
      <alignment horizontal="right"/>
    </xf>
    <xf numFmtId="0" fontId="0" fillId="0" borderId="7" xfId="0" applyBorder="1" applyAlignment="1">
      <alignment horizontal="left"/>
    </xf>
    <xf numFmtId="10" fontId="0" fillId="17" borderId="1" xfId="0" applyNumberFormat="1" applyFill="1" applyBorder="1" applyAlignment="1">
      <alignment horizontal="center"/>
    </xf>
    <xf numFmtId="3" fontId="0" fillId="17" borderId="1" xfId="0" applyNumberFormat="1" applyFill="1" applyBorder="1" applyAlignment="1">
      <alignment horizontal="center"/>
    </xf>
    <xf numFmtId="3" fontId="0" fillId="2" borderId="1" xfId="0" applyNumberFormat="1" applyFill="1" applyBorder="1" applyAlignment="1">
      <alignment horizontal="center"/>
    </xf>
    <xf numFmtId="0" fontId="0" fillId="17" borderId="10" xfId="0" applyFill="1" applyBorder="1" applyAlignment="1">
      <alignment horizontal="center" vertical="center"/>
    </xf>
    <xf numFmtId="178" fontId="0" fillId="0" borderId="21" xfId="0" applyNumberFormat="1" applyFill="1" applyBorder="1" applyAlignment="1">
      <alignment horizontal="center" shrinkToFit="1"/>
    </xf>
    <xf numFmtId="178" fontId="0" fillId="0" borderId="10" xfId="0" applyNumberFormat="1" applyFill="1" applyBorder="1" applyAlignment="1">
      <alignment horizontal="center" shrinkToFit="1"/>
    </xf>
    <xf numFmtId="178" fontId="0" fillId="0" borderId="19" xfId="0" applyNumberFormat="1" applyFill="1" applyBorder="1" applyAlignment="1">
      <alignment horizontal="center" shrinkToFit="1"/>
    </xf>
    <xf numFmtId="178" fontId="0" fillId="0" borderId="21" xfId="0" applyNumberFormat="1" applyBorder="1" applyAlignment="1">
      <alignment horizontal="center" shrinkToFit="1"/>
    </xf>
    <xf numFmtId="178" fontId="0" fillId="0" borderId="10" xfId="0" applyNumberFormat="1" applyBorder="1" applyAlignment="1">
      <alignment horizontal="center" shrinkToFit="1"/>
    </xf>
    <xf numFmtId="178" fontId="0" fillId="0" borderId="3" xfId="0" applyNumberFormat="1" applyBorder="1" applyAlignment="1">
      <alignment horizontal="center" shrinkToFit="1"/>
    </xf>
    <xf numFmtId="178" fontId="0" fillId="0" borderId="20" xfId="0" applyNumberFormat="1" applyFill="1" applyBorder="1" applyAlignment="1">
      <alignment horizontal="center" shrinkToFit="1"/>
    </xf>
    <xf numFmtId="178" fontId="0" fillId="0" borderId="3" xfId="0" applyNumberFormat="1" applyFill="1" applyBorder="1" applyAlignment="1">
      <alignment horizontal="center" shrinkToFit="1"/>
    </xf>
    <xf numFmtId="178" fontId="0" fillId="2" borderId="21" xfId="0" applyNumberFormat="1" applyFill="1" applyBorder="1" applyAlignment="1">
      <alignment horizontal="center" shrinkToFit="1"/>
    </xf>
    <xf numFmtId="178" fontId="0" fillId="2" borderId="10" xfId="0" applyNumberFormat="1" applyFill="1" applyBorder="1" applyAlignment="1">
      <alignment horizontal="center" shrinkToFit="1"/>
    </xf>
    <xf numFmtId="178" fontId="0" fillId="2" borderId="19" xfId="0" applyNumberFormat="1" applyFill="1" applyBorder="1" applyAlignment="1">
      <alignment horizontal="center" shrinkToFit="1"/>
    </xf>
    <xf numFmtId="0" fontId="3" fillId="0" borderId="10" xfId="0" applyFont="1" applyFill="1" applyBorder="1" applyAlignment="1">
      <alignment horizontal="left" indent="1"/>
    </xf>
    <xf numFmtId="0" fontId="3" fillId="0" borderId="1" xfId="0" applyFont="1" applyFill="1" applyBorder="1" applyAlignment="1">
      <alignment horizontal="center"/>
    </xf>
    <xf numFmtId="178" fontId="3" fillId="0" borderId="1" xfId="0" applyNumberFormat="1" applyFont="1" applyFill="1" applyBorder="1" applyAlignment="1">
      <alignment horizontal="center"/>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vertical="center" wrapText="1"/>
    </xf>
    <xf numFmtId="0" fontId="0" fillId="34" borderId="3" xfId="0" applyNumberFormat="1" applyFill="1" applyBorder="1" applyAlignment="1">
      <alignment horizontal="center"/>
    </xf>
    <xf numFmtId="178" fontId="0" fillId="2" borderId="1" xfId="0" applyNumberFormat="1" applyFill="1" applyBorder="1" applyAlignment="1">
      <alignment horizontal="center"/>
    </xf>
    <xf numFmtId="0" fontId="0" fillId="2" borderId="11" xfId="0" applyFill="1" applyBorder="1" applyAlignment="1">
      <alignment vertical="center" wrapText="1"/>
    </xf>
    <xf numFmtId="0" fontId="0" fillId="2" borderId="13" xfId="0" applyFill="1" applyBorder="1" applyAlignment="1">
      <alignment vertical="center" wrapText="1"/>
    </xf>
    <xf numFmtId="0" fontId="0" fillId="2" borderId="12" xfId="0" applyFill="1" applyBorder="1" applyAlignment="1">
      <alignment vertical="center" wrapText="1"/>
    </xf>
    <xf numFmtId="0" fontId="3" fillId="2" borderId="10" xfId="0" applyFont="1" applyFill="1" applyBorder="1" applyAlignment="1">
      <alignment horizontal="left" indent="1"/>
    </xf>
    <xf numFmtId="0" fontId="3" fillId="2" borderId="1" xfId="0" applyFont="1" applyFill="1" applyBorder="1" applyAlignment="1">
      <alignment horizontal="center"/>
    </xf>
    <xf numFmtId="178" fontId="3" fillId="2" borderId="1" xfId="0" applyNumberFormat="1" applyFont="1" applyFill="1" applyBorder="1" applyAlignment="1">
      <alignment horizontal="center"/>
    </xf>
    <xf numFmtId="178" fontId="0" fillId="2" borderId="1" xfId="0" applyNumberFormat="1" applyFill="1" applyBorder="1" applyAlignment="1">
      <alignment horizontal="center"/>
    </xf>
    <xf numFmtId="0" fontId="0" fillId="0" borderId="10" xfId="0" applyBorder="1" applyAlignment="1">
      <alignment horizontal="center"/>
    </xf>
    <xf numFmtId="0" fontId="0" fillId="17" borderId="3" xfId="0" applyFill="1" applyBorder="1" applyAlignment="1" applyProtection="1">
      <alignment horizontal="center"/>
      <protection locked="0"/>
    </xf>
    <xf numFmtId="0" fontId="11" fillId="18" borderId="10" xfId="0" applyFont="1" applyFill="1" applyBorder="1" applyAlignment="1" applyProtection="1">
      <alignment horizontal="center"/>
      <protection locked="0"/>
    </xf>
    <xf numFmtId="2" fontId="35" fillId="20" borderId="10" xfId="0" applyNumberFormat="1" applyFont="1" applyFill="1" applyBorder="1" applyAlignment="1" applyProtection="1">
      <alignment horizontal="center"/>
    </xf>
    <xf numFmtId="0" fontId="25" fillId="25" borderId="10" xfId="0" applyFont="1" applyFill="1" applyBorder="1" applyAlignment="1">
      <alignment horizontal="center"/>
    </xf>
    <xf numFmtId="170" fontId="0" fillId="17" borderId="1" xfId="0" applyNumberFormat="1" applyFill="1"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55" fillId="0" borderId="0" xfId="0" applyFont="1"/>
    <xf numFmtId="178" fontId="0" fillId="2" borderId="1" xfId="0" applyNumberFormat="1" applyFill="1" applyBorder="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0" borderId="0" xfId="0" applyBorder="1" applyAlignment="1">
      <alignment horizontal="center"/>
    </xf>
    <xf numFmtId="170" fontId="0" fillId="0" borderId="0" xfId="0" applyNumberFormat="1" applyBorder="1" applyAlignment="1">
      <alignment horizontal="center"/>
    </xf>
    <xf numFmtId="164" fontId="0" fillId="0" borderId="0" xfId="0" applyNumberFormat="1" applyBorder="1" applyAlignment="1">
      <alignment horizontal="center"/>
    </xf>
    <xf numFmtId="0" fontId="0" fillId="0" borderId="0" xfId="0" applyNumberFormat="1" applyBorder="1" applyAlignment="1">
      <alignment horizontal="center"/>
    </xf>
    <xf numFmtId="2" fontId="0" fillId="0" borderId="3" xfId="0" applyNumberFormat="1" applyBorder="1" applyAlignment="1">
      <alignment horizontal="center"/>
    </xf>
    <xf numFmtId="181" fontId="0" fillId="0" borderId="3" xfId="0" applyNumberFormat="1" applyBorder="1" applyAlignment="1">
      <alignment horizontal="center"/>
    </xf>
    <xf numFmtId="181" fontId="0" fillId="0" borderId="10" xfId="0" applyNumberFormat="1" applyBorder="1" applyAlignment="1">
      <alignment horizontal="center"/>
    </xf>
    <xf numFmtId="0" fontId="56" fillId="0" borderId="0" xfId="0" applyFont="1"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1" fontId="35" fillId="20" borderId="10" xfId="0" applyNumberFormat="1" applyFont="1" applyFill="1" applyBorder="1" applyAlignment="1">
      <alignment horizontal="center"/>
    </xf>
    <xf numFmtId="2" fontId="0" fillId="0" borderId="3" xfId="0" applyNumberFormat="1" applyBorder="1" applyAlignment="1">
      <alignment horizontal="center"/>
    </xf>
    <xf numFmtId="0" fontId="0" fillId="0" borderId="0" xfId="0"/>
    <xf numFmtId="0" fontId="0" fillId="17" borderId="1" xfId="0" applyFill="1" applyBorder="1" applyAlignment="1">
      <alignment horizontal="center"/>
    </xf>
    <xf numFmtId="0" fontId="0" fillId="17" borderId="1" xfId="0" applyNumberFormat="1" applyFill="1" applyBorder="1" applyAlignment="1">
      <alignment horizontal="center"/>
    </xf>
    <xf numFmtId="0" fontId="57" fillId="0" borderId="0" xfId="0" applyFont="1" applyAlignment="1">
      <alignment horizontal="left" indent="1"/>
    </xf>
    <xf numFmtId="0" fontId="0" fillId="0" borderId="1" xfId="0" applyBorder="1" applyAlignment="1">
      <alignment horizontal="left" vertical="center" indent="1"/>
    </xf>
    <xf numFmtId="0" fontId="47"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2" borderId="10" xfId="0" applyFill="1" applyBorder="1" applyAlignment="1">
      <alignment horizontal="center"/>
    </xf>
    <xf numFmtId="0" fontId="0" fillId="0" borderId="1" xfId="0" applyBorder="1" applyAlignment="1">
      <alignment horizontal="center"/>
    </xf>
    <xf numFmtId="0" fontId="0" fillId="32" borderId="5" xfId="0" applyFill="1" applyBorder="1" applyAlignment="1">
      <alignment horizontal="center"/>
    </xf>
    <xf numFmtId="0" fontId="0" fillId="0" borderId="3" xfId="0" applyBorder="1" applyAlignment="1"/>
    <xf numFmtId="0" fontId="0" fillId="0" borderId="0" xfId="0" applyAlignment="1">
      <alignment horizontal="center"/>
    </xf>
    <xf numFmtId="0" fontId="0" fillId="17" borderId="3" xfId="0" applyFill="1" applyBorder="1" applyAlignment="1" applyProtection="1">
      <alignment horizontal="center"/>
      <protection locked="0"/>
    </xf>
    <xf numFmtId="0" fontId="0" fillId="0" borderId="10" xfId="0" applyBorder="1" applyAlignment="1">
      <alignment horizontal="center"/>
    </xf>
    <xf numFmtId="164" fontId="0" fillId="0" borderId="3" xfId="0" applyNumberFormat="1" applyBorder="1" applyAlignment="1">
      <alignment horizontal="center" vertical="center"/>
    </xf>
    <xf numFmtId="0" fontId="0" fillId="0" borderId="10" xfId="0" applyNumberFormat="1" applyBorder="1" applyAlignment="1">
      <alignment horizontal="center"/>
    </xf>
    <xf numFmtId="0" fontId="0" fillId="0" borderId="1" xfId="0" applyBorder="1" applyAlignment="1">
      <alignment horizontal="left" vertical="center" indent="1"/>
    </xf>
    <xf numFmtId="0" fontId="0" fillId="17" borderId="1" xfId="0" applyFill="1" applyBorder="1" applyAlignment="1">
      <alignment horizontal="center"/>
    </xf>
    <xf numFmtId="0" fontId="0" fillId="17" borderId="1" xfId="0" applyNumberFormat="1" applyFill="1" applyBorder="1" applyAlignment="1">
      <alignment horizontal="center"/>
    </xf>
    <xf numFmtId="2" fontId="0" fillId="0" borderId="2" xfId="0" applyNumberFormat="1" applyBorder="1" applyAlignment="1">
      <alignment horizontal="center"/>
    </xf>
    <xf numFmtId="0" fontId="0" fillId="10" borderId="0" xfId="0" applyFill="1"/>
    <xf numFmtId="0" fontId="58" fillId="16" borderId="10" xfId="0" applyFont="1" applyFill="1" applyBorder="1" applyAlignment="1">
      <alignment horizontal="center"/>
    </xf>
    <xf numFmtId="0" fontId="12" fillId="0" borderId="0" xfId="0" applyFont="1" applyBorder="1" applyAlignment="1">
      <alignment horizontal="right" indent="1"/>
    </xf>
    <xf numFmtId="49" fontId="55" fillId="0" borderId="0" xfId="0" applyNumberFormat="1" applyFont="1" applyAlignment="1">
      <alignment horizontal="center"/>
    </xf>
    <xf numFmtId="0" fontId="0" fillId="0" borderId="0" xfId="0" applyBorder="1" applyAlignment="1" applyProtection="1">
      <alignment horizontal="center"/>
    </xf>
    <xf numFmtId="0" fontId="0" fillId="0" borderId="0" xfId="0" applyProtection="1"/>
    <xf numFmtId="0" fontId="0" fillId="0" borderId="0" xfId="0" applyBorder="1" applyProtection="1"/>
    <xf numFmtId="0" fontId="0" fillId="0" borderId="0" xfId="0" applyAlignment="1" applyProtection="1">
      <alignment horizontal="center"/>
    </xf>
    <xf numFmtId="0" fontId="23" fillId="0" borderId="0" xfId="0" applyFont="1" applyAlignment="1" applyProtection="1">
      <alignment horizontal="center"/>
    </xf>
    <xf numFmtId="0" fontId="23" fillId="0" borderId="0" xfId="0" applyFont="1" applyProtection="1"/>
    <xf numFmtId="0" fontId="6" fillId="0" borderId="0" xfId="0" applyFont="1" applyAlignment="1">
      <alignment horizontal="right" vertical="top"/>
    </xf>
    <xf numFmtId="0" fontId="0" fillId="0" borderId="1" xfId="0" applyBorder="1" applyAlignment="1">
      <alignment horizontal="left" vertical="center" indent="1"/>
    </xf>
    <xf numFmtId="0" fontId="16" fillId="2" borderId="10" xfId="0" applyFont="1" applyFill="1" applyBorder="1" applyAlignment="1">
      <alignment horizontal="center" vertical="center" wrapText="1"/>
    </xf>
    <xf numFmtId="0" fontId="36" fillId="13" borderId="10" xfId="0" applyFont="1" applyFill="1" applyBorder="1" applyAlignment="1">
      <alignment horizontal="center"/>
    </xf>
    <xf numFmtId="0" fontId="3" fillId="2" borderId="0" xfId="0" applyFont="1" applyFill="1" applyAlignment="1">
      <alignment horizontal="center" wrapText="1"/>
    </xf>
    <xf numFmtId="0" fontId="3" fillId="2" borderId="17" xfId="0" applyFont="1" applyFill="1" applyBorder="1" applyAlignment="1">
      <alignment horizontal="center" wrapText="1"/>
    </xf>
    <xf numFmtId="0" fontId="21" fillId="0" borderId="0" xfId="0" applyFont="1" applyFill="1" applyBorder="1" applyAlignment="1">
      <alignment horizontal="center"/>
    </xf>
    <xf numFmtId="0" fontId="0" fillId="0" borderId="14" xfId="0" applyBorder="1" applyAlignment="1">
      <alignment horizontal="center" shrinkToFit="1"/>
    </xf>
    <xf numFmtId="0" fontId="0" fillId="0" borderId="0" xfId="0" applyAlignment="1">
      <alignment horizontal="center" shrinkToFit="1"/>
    </xf>
    <xf numFmtId="0" fontId="0" fillId="3" borderId="1" xfId="0" applyNumberFormat="1" applyFill="1" applyBorder="1" applyAlignment="1">
      <alignment horizontal="center"/>
    </xf>
    <xf numFmtId="0" fontId="0" fillId="3" borderId="2" xfId="0" applyNumberFormat="1" applyFill="1" applyBorder="1" applyAlignment="1">
      <alignment horizontal="center"/>
    </xf>
    <xf numFmtId="0" fontId="0" fillId="3" borderId="3" xfId="0" applyNumberFormat="1" applyFill="1" applyBorder="1" applyAlignment="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2" borderId="1" xfId="0" applyFill="1" applyBorder="1" applyAlignment="1">
      <alignment horizontal="center"/>
    </xf>
    <xf numFmtId="0" fontId="0" fillId="2" borderId="3" xfId="0" applyFill="1" applyBorder="1" applyAlignment="1">
      <alignment horizontal="center"/>
    </xf>
    <xf numFmtId="0" fontId="0" fillId="16" borderId="1" xfId="0" applyFill="1" applyBorder="1" applyAlignment="1">
      <alignment horizontal="center"/>
    </xf>
    <xf numFmtId="0" fontId="0" fillId="16" borderId="2" xfId="0" applyFill="1" applyBorder="1" applyAlignment="1">
      <alignment horizontal="center"/>
    </xf>
    <xf numFmtId="0" fontId="0" fillId="16" borderId="3" xfId="0" applyFill="1" applyBorder="1" applyAlignment="1">
      <alignment horizontal="center"/>
    </xf>
    <xf numFmtId="170" fontId="0" fillId="16" borderId="1" xfId="0" applyNumberFormat="1" applyFill="1" applyBorder="1" applyAlignment="1">
      <alignment horizontal="center"/>
    </xf>
    <xf numFmtId="170" fontId="0" fillId="16" borderId="2" xfId="0" applyNumberFormat="1" applyFill="1" applyBorder="1" applyAlignment="1">
      <alignment horizontal="center"/>
    </xf>
    <xf numFmtId="170" fontId="0" fillId="16" borderId="3" xfId="0" applyNumberFormat="1" applyFill="1" applyBorder="1" applyAlignment="1">
      <alignment horizontal="center"/>
    </xf>
    <xf numFmtId="3" fontId="0" fillId="16" borderId="1" xfId="0" applyNumberFormat="1" applyFill="1" applyBorder="1" applyAlignment="1">
      <alignment horizontal="center"/>
    </xf>
    <xf numFmtId="3" fontId="0" fillId="16" borderId="2" xfId="0" applyNumberFormat="1" applyFill="1" applyBorder="1" applyAlignment="1">
      <alignment horizontal="center"/>
    </xf>
    <xf numFmtId="3" fontId="0" fillId="16" borderId="3" xfId="0" applyNumberFormat="1" applyFill="1" applyBorder="1" applyAlignment="1">
      <alignment horizontal="center"/>
    </xf>
    <xf numFmtId="0" fontId="0" fillId="16" borderId="1" xfId="0" applyNumberFormat="1" applyFill="1" applyBorder="1" applyAlignment="1">
      <alignment horizontal="center"/>
    </xf>
    <xf numFmtId="0" fontId="0" fillId="16" borderId="2" xfId="0" applyNumberFormat="1" applyFill="1" applyBorder="1" applyAlignment="1">
      <alignment horizontal="center"/>
    </xf>
    <xf numFmtId="0" fontId="0" fillId="16" borderId="3" xfId="0" applyNumberFormat="1" applyFill="1" applyBorder="1" applyAlignment="1">
      <alignment horizontal="center"/>
    </xf>
    <xf numFmtId="0" fontId="0" fillId="16" borderId="1" xfId="0" applyNumberFormat="1" applyFill="1" applyBorder="1" applyAlignment="1">
      <alignment horizontal="center" shrinkToFit="1"/>
    </xf>
    <xf numFmtId="0" fontId="0" fillId="16" borderId="2" xfId="0" applyNumberFormat="1" applyFill="1" applyBorder="1" applyAlignment="1">
      <alignment horizontal="center" shrinkToFit="1"/>
    </xf>
    <xf numFmtId="0" fontId="0" fillId="16" borderId="3" xfId="0" applyNumberFormat="1" applyFill="1" applyBorder="1" applyAlignment="1">
      <alignment horizontal="center" shrinkToFit="1"/>
    </xf>
    <xf numFmtId="0" fontId="0" fillId="3" borderId="1" xfId="0" applyFill="1" applyBorder="1" applyAlignment="1">
      <alignment horizontal="center" shrinkToFit="1"/>
    </xf>
    <xf numFmtId="0" fontId="0" fillId="3" borderId="2" xfId="0" applyFill="1" applyBorder="1" applyAlignment="1">
      <alignment horizontal="center" shrinkToFit="1"/>
    </xf>
    <xf numFmtId="0" fontId="0" fillId="3" borderId="3" xfId="0" applyFill="1" applyBorder="1" applyAlignment="1">
      <alignment horizontal="center" shrinkToFi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169" fontId="0" fillId="16" borderId="1" xfId="0" applyNumberFormat="1" applyFill="1" applyBorder="1" applyAlignment="1">
      <alignment horizontal="center"/>
    </xf>
    <xf numFmtId="169" fontId="0" fillId="16" borderId="2" xfId="0" applyNumberFormat="1" applyFill="1" applyBorder="1" applyAlignment="1">
      <alignment horizontal="center"/>
    </xf>
    <xf numFmtId="169" fontId="0" fillId="16" borderId="3" xfId="0" applyNumberFormat="1" applyFill="1" applyBorder="1" applyAlignment="1">
      <alignment horizontal="center"/>
    </xf>
    <xf numFmtId="9" fontId="11" fillId="3" borderId="1" xfId="0" applyNumberFormat="1" applyFont="1" applyFill="1" applyBorder="1" applyAlignment="1">
      <alignment horizontal="center"/>
    </xf>
    <xf numFmtId="9" fontId="0" fillId="3" borderId="2" xfId="0" applyNumberFormat="1" applyFill="1" applyBorder="1" applyAlignment="1">
      <alignment horizontal="center"/>
    </xf>
    <xf numFmtId="9" fontId="0" fillId="3" borderId="3" xfId="0" applyNumberFormat="1" applyFill="1" applyBorder="1" applyAlignment="1">
      <alignment horizontal="center"/>
    </xf>
    <xf numFmtId="9" fontId="0" fillId="3" borderId="1" xfId="0" applyNumberFormat="1" applyFill="1" applyBorder="1" applyAlignment="1">
      <alignment horizontal="center"/>
    </xf>
    <xf numFmtId="165" fontId="0" fillId="3" borderId="1" xfId="0" applyNumberFormat="1" applyFill="1" applyBorder="1" applyAlignment="1">
      <alignment horizontal="center"/>
    </xf>
    <xf numFmtId="165" fontId="0" fillId="3" borderId="2" xfId="0" applyNumberFormat="1" applyFill="1" applyBorder="1" applyAlignment="1">
      <alignment horizontal="center"/>
    </xf>
    <xf numFmtId="165" fontId="0" fillId="3" borderId="3" xfId="0" applyNumberFormat="1" applyFill="1" applyBorder="1" applyAlignment="1">
      <alignment horizontal="center"/>
    </xf>
    <xf numFmtId="0" fontId="0" fillId="3" borderId="1" xfId="0" applyNumberFormat="1" applyFont="1" applyFill="1" applyBorder="1" applyAlignment="1">
      <alignment horizontal="center"/>
    </xf>
    <xf numFmtId="0" fontId="0" fillId="3" borderId="2" xfId="0" applyNumberFormat="1" applyFont="1" applyFill="1" applyBorder="1" applyAlignment="1">
      <alignment horizontal="center"/>
    </xf>
    <xf numFmtId="0" fontId="0" fillId="3" borderId="3" xfId="0" applyNumberFormat="1" applyFont="1" applyFill="1" applyBorder="1" applyAlignment="1">
      <alignment horizontal="center"/>
    </xf>
    <xf numFmtId="0" fontId="0" fillId="18" borderId="1" xfId="0" applyFill="1" applyBorder="1" applyAlignment="1" applyProtection="1">
      <alignment horizontal="center"/>
      <protection locked="0"/>
    </xf>
    <xf numFmtId="0" fontId="0" fillId="18" borderId="2" xfId="0" applyFill="1" applyBorder="1" applyAlignment="1" applyProtection="1">
      <alignment horizontal="center"/>
      <protection locked="0"/>
    </xf>
    <xf numFmtId="0" fontId="0" fillId="18" borderId="3" xfId="0" applyFill="1" applyBorder="1" applyAlignment="1" applyProtection="1">
      <alignment horizontal="center"/>
      <protection locked="0"/>
    </xf>
    <xf numFmtId="177" fontId="0" fillId="16" borderId="1" xfId="0" applyNumberFormat="1" applyFill="1" applyBorder="1" applyAlignment="1">
      <alignment horizontal="center"/>
    </xf>
    <xf numFmtId="177" fontId="0" fillId="16" borderId="2" xfId="0" applyNumberFormat="1" applyFill="1" applyBorder="1" applyAlignment="1">
      <alignment horizontal="center"/>
    </xf>
    <xf numFmtId="177" fontId="0" fillId="16" borderId="3" xfId="0" applyNumberFormat="1" applyFill="1" applyBorder="1" applyAlignment="1">
      <alignment horizontal="center"/>
    </xf>
    <xf numFmtId="171" fontId="0" fillId="16" borderId="1" xfId="0" applyNumberFormat="1" applyFill="1" applyBorder="1" applyAlignment="1">
      <alignment horizontal="center"/>
    </xf>
    <xf numFmtId="171" fontId="0" fillId="16" borderId="2" xfId="0" applyNumberFormat="1" applyFill="1" applyBorder="1" applyAlignment="1">
      <alignment horizontal="center"/>
    </xf>
    <xf numFmtId="171" fontId="0" fillId="16" borderId="3" xfId="0" applyNumberFormat="1" applyFill="1" applyBorder="1" applyAlignment="1">
      <alignment horizontal="center"/>
    </xf>
    <xf numFmtId="165" fontId="0" fillId="16" borderId="1" xfId="0" applyNumberFormat="1" applyFill="1" applyBorder="1" applyAlignment="1">
      <alignment horizontal="center"/>
    </xf>
    <xf numFmtId="165" fontId="0" fillId="16" borderId="2" xfId="0" applyNumberFormat="1" applyFill="1" applyBorder="1" applyAlignment="1">
      <alignment horizontal="center"/>
    </xf>
    <xf numFmtId="165" fontId="0" fillId="16" borderId="3" xfId="0" applyNumberFormat="1" applyFill="1" applyBorder="1" applyAlignment="1">
      <alignment horizontal="center"/>
    </xf>
    <xf numFmtId="10" fontId="0" fillId="16" borderId="10" xfId="0" applyNumberFormat="1" applyFill="1" applyBorder="1" applyAlignment="1">
      <alignment horizontal="center"/>
    </xf>
    <xf numFmtId="2" fontId="0" fillId="2" borderId="1" xfId="0" applyNumberFormat="1" applyFill="1" applyBorder="1" applyAlignment="1">
      <alignment horizontal="center"/>
    </xf>
    <xf numFmtId="2" fontId="0" fillId="2" borderId="2" xfId="0" applyNumberFormat="1" applyFill="1" applyBorder="1" applyAlignment="1">
      <alignment horizontal="center"/>
    </xf>
    <xf numFmtId="0" fontId="0" fillId="17" borderId="1" xfId="0" applyFill="1" applyBorder="1" applyAlignment="1" applyProtection="1">
      <alignment horizontal="center"/>
      <protection locked="0"/>
    </xf>
    <xf numFmtId="0" fontId="0" fillId="17" borderId="2" xfId="0" applyFill="1" applyBorder="1" applyAlignment="1" applyProtection="1">
      <alignment horizontal="center"/>
      <protection locked="0"/>
    </xf>
    <xf numFmtId="0" fontId="0" fillId="17" borderId="3" xfId="0"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2" borderId="2" xfId="0" applyFill="1" applyBorder="1" applyAlignment="1" applyProtection="1">
      <alignment horizontal="center"/>
      <protection locked="0"/>
    </xf>
    <xf numFmtId="0" fontId="0" fillId="12" borderId="3" xfId="0" applyFill="1" applyBorder="1" applyAlignment="1" applyProtection="1">
      <alignment horizontal="center"/>
      <protection locked="0"/>
    </xf>
    <xf numFmtId="3" fontId="0" fillId="12" borderId="1" xfId="0" applyNumberFormat="1" applyFill="1" applyBorder="1" applyAlignment="1" applyProtection="1">
      <alignment horizontal="center"/>
      <protection locked="0"/>
    </xf>
    <xf numFmtId="3" fontId="0" fillId="12" borderId="2" xfId="0" applyNumberFormat="1" applyFill="1" applyBorder="1" applyAlignment="1" applyProtection="1">
      <alignment horizontal="center"/>
      <protection locked="0"/>
    </xf>
    <xf numFmtId="3" fontId="0" fillId="12" borderId="3" xfId="0" applyNumberFormat="1" applyFill="1" applyBorder="1" applyAlignment="1" applyProtection="1">
      <alignment horizontal="center"/>
      <protection locked="0"/>
    </xf>
    <xf numFmtId="0" fontId="0" fillId="2" borderId="5" xfId="0" applyFill="1" applyBorder="1" applyAlignment="1">
      <alignment horizontal="center"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4" xfId="0" applyFill="1" applyBorder="1" applyAlignment="1">
      <alignment horizontal="center"/>
    </xf>
    <xf numFmtId="0" fontId="0" fillId="2" borderId="9" xfId="0" applyFill="1" applyBorder="1" applyAlignment="1">
      <alignment horizontal="center"/>
    </xf>
    <xf numFmtId="0" fontId="0" fillId="20" borderId="1" xfId="0" applyFill="1" applyBorder="1" applyAlignment="1" applyProtection="1">
      <alignment horizontal="center"/>
      <protection locked="0"/>
    </xf>
    <xf numFmtId="0" fontId="0" fillId="20" borderId="3" xfId="0" applyFill="1" applyBorder="1" applyAlignment="1" applyProtection="1">
      <alignment horizontal="center"/>
      <protection locked="0"/>
    </xf>
    <xf numFmtId="170" fontId="0" fillId="18" borderId="1" xfId="0" applyNumberFormat="1" applyFill="1" applyBorder="1" applyAlignment="1" applyProtection="1">
      <alignment horizontal="center"/>
      <protection locked="0"/>
    </xf>
    <xf numFmtId="170" fontId="0" fillId="18" borderId="2" xfId="0" applyNumberFormat="1" applyFill="1" applyBorder="1" applyAlignment="1" applyProtection="1">
      <alignment horizontal="center"/>
      <protection locked="0"/>
    </xf>
    <xf numFmtId="170" fontId="0" fillId="18" borderId="3" xfId="0" applyNumberFormat="1" applyFill="1" applyBorder="1" applyAlignment="1" applyProtection="1">
      <alignment horizontal="center"/>
      <protection locked="0"/>
    </xf>
    <xf numFmtId="164" fontId="0" fillId="16" borderId="1" xfId="0" applyNumberFormat="1" applyFill="1" applyBorder="1" applyAlignment="1">
      <alignment horizontal="center"/>
    </xf>
    <xf numFmtId="164" fontId="0" fillId="16" borderId="2" xfId="0" applyNumberFormat="1" applyFill="1" applyBorder="1" applyAlignment="1">
      <alignment horizontal="center"/>
    </xf>
    <xf numFmtId="164" fontId="0" fillId="16" borderId="3" xfId="0" applyNumberFormat="1" applyFill="1" applyBorder="1" applyAlignment="1">
      <alignment horizontal="center"/>
    </xf>
    <xf numFmtId="172" fontId="3" fillId="16" borderId="1" xfId="0" applyNumberFormat="1" applyFont="1" applyFill="1" applyBorder="1" applyAlignment="1">
      <alignment horizontal="center"/>
    </xf>
    <xf numFmtId="172" fontId="3" fillId="16" borderId="2" xfId="0" applyNumberFormat="1" applyFont="1" applyFill="1" applyBorder="1" applyAlignment="1">
      <alignment horizontal="center"/>
    </xf>
    <xf numFmtId="172" fontId="3" fillId="16" borderId="3" xfId="0" applyNumberFormat="1" applyFont="1" applyFill="1" applyBorder="1" applyAlignment="1">
      <alignment horizontal="center"/>
    </xf>
    <xf numFmtId="170" fontId="0" fillId="3" borderId="1" xfId="0" applyNumberFormat="1" applyFill="1" applyBorder="1" applyAlignment="1">
      <alignment horizontal="center"/>
    </xf>
    <xf numFmtId="170" fontId="0" fillId="3" borderId="2" xfId="0" applyNumberFormat="1" applyFill="1" applyBorder="1" applyAlignment="1">
      <alignment horizontal="center"/>
    </xf>
    <xf numFmtId="170" fontId="0" fillId="3" borderId="3" xfId="0" applyNumberFormat="1" applyFill="1" applyBorder="1" applyAlignment="1">
      <alignment horizontal="center"/>
    </xf>
    <xf numFmtId="0" fontId="0" fillId="2" borderId="5" xfId="0" applyFill="1" applyBorder="1" applyAlignment="1">
      <alignment horizontal="center"/>
    </xf>
    <xf numFmtId="0" fontId="0" fillId="2" borderId="14" xfId="0" applyFill="1" applyBorder="1" applyAlignment="1">
      <alignment horizontal="center"/>
    </xf>
    <xf numFmtId="0" fontId="0" fillId="2" borderId="17" xfId="0" applyFill="1" applyBorder="1" applyAlignment="1">
      <alignment horizontal="center"/>
    </xf>
    <xf numFmtId="0" fontId="0" fillId="2" borderId="2" xfId="0" applyFill="1" applyBorder="1" applyAlignment="1">
      <alignment horizontal="center"/>
    </xf>
    <xf numFmtId="0" fontId="0" fillId="20" borderId="2" xfId="0" applyFill="1" applyBorder="1" applyAlignment="1" applyProtection="1">
      <alignment horizontal="center"/>
      <protection locked="0"/>
    </xf>
    <xf numFmtId="0" fontId="18" fillId="35" borderId="0"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0" fillId="3" borderId="1" xfId="0" applyNumberFormat="1" applyFont="1" applyFill="1" applyBorder="1" applyAlignment="1">
      <alignment horizontal="center" shrinkToFit="1"/>
    </xf>
    <xf numFmtId="0" fontId="0" fillId="3" borderId="2" xfId="0" applyNumberFormat="1" applyFont="1" applyFill="1" applyBorder="1" applyAlignment="1">
      <alignment horizontal="center" shrinkToFit="1"/>
    </xf>
    <xf numFmtId="0" fontId="0" fillId="3" borderId="3" xfId="0" applyNumberFormat="1" applyFont="1" applyFill="1" applyBorder="1" applyAlignment="1">
      <alignment horizontal="center" shrinkToFit="1"/>
    </xf>
    <xf numFmtId="0" fontId="0" fillId="18" borderId="10" xfId="0" applyFill="1" applyBorder="1" applyAlignment="1" applyProtection="1">
      <alignment horizontal="center"/>
      <protection locked="0"/>
    </xf>
    <xf numFmtId="0" fontId="0" fillId="12" borderId="10" xfId="0" applyFill="1" applyBorder="1" applyAlignment="1" applyProtection="1">
      <alignment horizontal="center"/>
      <protection locked="0"/>
    </xf>
    <xf numFmtId="0" fontId="21" fillId="0" borderId="14" xfId="0" applyFont="1" applyFill="1" applyBorder="1" applyAlignment="1">
      <alignment horizontal="center"/>
    </xf>
    <xf numFmtId="0" fontId="19" fillId="35" borderId="0" xfId="0" applyFont="1" applyFill="1" applyAlignment="1">
      <alignment horizontal="center"/>
    </xf>
    <xf numFmtId="0" fontId="13" fillId="16" borderId="1" xfId="0" applyFont="1" applyFill="1" applyBorder="1" applyAlignment="1">
      <alignment horizontal="center"/>
    </xf>
    <xf numFmtId="0" fontId="13" fillId="16" borderId="2" xfId="0" applyFont="1" applyFill="1" applyBorder="1" applyAlignment="1">
      <alignment horizontal="center"/>
    </xf>
    <xf numFmtId="0" fontId="13" fillId="16" borderId="3" xfId="0" applyFont="1" applyFill="1" applyBorder="1" applyAlignment="1">
      <alignment horizontal="center"/>
    </xf>
    <xf numFmtId="10" fontId="0" fillId="16" borderId="1" xfId="0" applyNumberFormat="1" applyFill="1" applyBorder="1" applyAlignment="1">
      <alignment horizontal="center"/>
    </xf>
    <xf numFmtId="10" fontId="0" fillId="16" borderId="2" xfId="0" applyNumberFormat="1" applyFill="1" applyBorder="1" applyAlignment="1">
      <alignment horizontal="center"/>
    </xf>
    <xf numFmtId="10" fontId="0" fillId="16" borderId="3" xfId="0" applyNumberFormat="1" applyFill="1" applyBorder="1" applyAlignment="1">
      <alignment horizontal="center"/>
    </xf>
    <xf numFmtId="49" fontId="0" fillId="17" borderId="10" xfId="0" applyNumberFormat="1" applyFill="1" applyBorder="1" applyAlignment="1" applyProtection="1">
      <alignment horizontal="center"/>
      <protection locked="0"/>
    </xf>
    <xf numFmtId="1" fontId="13" fillId="3" borderId="10" xfId="0" applyNumberFormat="1" applyFont="1" applyFill="1" applyBorder="1" applyAlignment="1">
      <alignment horizontal="center"/>
    </xf>
    <xf numFmtId="0" fontId="13" fillId="3" borderId="10" xfId="0" applyFont="1" applyFill="1" applyBorder="1" applyAlignment="1">
      <alignment horizontal="center"/>
    </xf>
    <xf numFmtId="10" fontId="13" fillId="3" borderId="10" xfId="0" applyNumberFormat="1" applyFont="1" applyFill="1" applyBorder="1" applyAlignment="1">
      <alignment horizontal="center"/>
    </xf>
    <xf numFmtId="178" fontId="0" fillId="17" borderId="10" xfId="0" applyNumberFormat="1" applyFill="1" applyBorder="1" applyAlignment="1" applyProtection="1">
      <alignment horizontal="center"/>
      <protection locked="0"/>
    </xf>
    <xf numFmtId="178" fontId="0" fillId="16" borderId="1" xfId="0" applyNumberFormat="1" applyFill="1" applyBorder="1" applyAlignment="1">
      <alignment horizontal="center" shrinkToFit="1"/>
    </xf>
    <xf numFmtId="178" fontId="0" fillId="16" borderId="2" xfId="0" applyNumberFormat="1" applyFill="1" applyBorder="1" applyAlignment="1">
      <alignment horizontal="center" shrinkToFit="1"/>
    </xf>
    <xf numFmtId="178" fontId="0" fillId="16" borderId="3" xfId="0" applyNumberFormat="1" applyFill="1" applyBorder="1" applyAlignment="1">
      <alignment horizontal="center" shrinkToFit="1"/>
    </xf>
    <xf numFmtId="0" fontId="0" fillId="20" borderId="1" xfId="0" applyFill="1" applyBorder="1" applyAlignment="1">
      <alignment horizontal="center"/>
    </xf>
    <xf numFmtId="0" fontId="0" fillId="20" borderId="2" xfId="0" applyFill="1" applyBorder="1" applyAlignment="1">
      <alignment horizontal="center"/>
    </xf>
    <xf numFmtId="0" fontId="0" fillId="20" borderId="3" xfId="0" applyFill="1" applyBorder="1" applyAlignment="1">
      <alignment horizontal="center"/>
    </xf>
    <xf numFmtId="0" fontId="0" fillId="12" borderId="1" xfId="0" applyFill="1"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0" fontId="0" fillId="18" borderId="1" xfId="0" applyFill="1" applyBorder="1" applyAlignment="1">
      <alignment horizontal="center"/>
    </xf>
    <xf numFmtId="0" fontId="0" fillId="18" borderId="2" xfId="0" applyFill="1" applyBorder="1" applyAlignment="1">
      <alignment horizontal="center"/>
    </xf>
    <xf numFmtId="0" fontId="0" fillId="18" borderId="3" xfId="0" applyFill="1" applyBorder="1" applyAlignment="1">
      <alignment horizontal="center"/>
    </xf>
    <xf numFmtId="0" fontId="0" fillId="17" borderId="1" xfId="0" applyFill="1" applyBorder="1" applyAlignment="1">
      <alignment horizontal="center"/>
    </xf>
    <xf numFmtId="0" fontId="0" fillId="17" borderId="2" xfId="0" applyFill="1" applyBorder="1" applyAlignment="1">
      <alignment horizontal="center"/>
    </xf>
    <xf numFmtId="0" fontId="0" fillId="17" borderId="3" xfId="0" applyFill="1" applyBorder="1" applyAlignment="1">
      <alignment horizontal="center"/>
    </xf>
    <xf numFmtId="0" fontId="21" fillId="19" borderId="1" xfId="0" applyFont="1" applyFill="1" applyBorder="1" applyAlignment="1">
      <alignment horizontal="center"/>
    </xf>
    <xf numFmtId="0" fontId="21" fillId="19" borderId="2" xfId="0" applyFont="1" applyFill="1" applyBorder="1" applyAlignment="1">
      <alignment horizontal="center"/>
    </xf>
    <xf numFmtId="0" fontId="21" fillId="19" borderId="3" xfId="0" applyFont="1" applyFill="1" applyBorder="1" applyAlignment="1">
      <alignment horizontal="center"/>
    </xf>
    <xf numFmtId="0" fontId="41" fillId="35" borderId="0" xfId="0" applyFont="1" applyFill="1" applyBorder="1" applyAlignment="1">
      <alignment horizont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164" fontId="0" fillId="3" borderId="1" xfId="0" applyNumberFormat="1"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22" fillId="2" borderId="10" xfId="0" applyFont="1" applyFill="1" applyBorder="1" applyAlignment="1">
      <alignment horizontal="center" vertical="center"/>
    </xf>
    <xf numFmtId="49" fontId="0" fillId="18" borderId="10" xfId="0" applyNumberFormat="1" applyFill="1" applyBorder="1" applyAlignment="1" applyProtection="1">
      <alignment horizontal="center"/>
      <protection locked="0"/>
    </xf>
    <xf numFmtId="0" fontId="7" fillId="18" borderId="1" xfId="0" applyFont="1" applyFill="1" applyBorder="1" applyAlignment="1" applyProtection="1">
      <alignment horizontal="center" shrinkToFit="1"/>
      <protection locked="0"/>
    </xf>
    <xf numFmtId="0" fontId="7" fillId="18" borderId="3" xfId="0" applyFont="1" applyFill="1" applyBorder="1" applyAlignment="1" applyProtection="1">
      <alignment horizontal="center" shrinkToFit="1"/>
      <protection locked="0"/>
    </xf>
    <xf numFmtId="0" fontId="0" fillId="18" borderId="1" xfId="0" applyFill="1" applyBorder="1" applyAlignment="1" applyProtection="1">
      <alignment horizontal="center" shrinkToFit="1"/>
      <protection locked="0"/>
    </xf>
    <xf numFmtId="0" fontId="0" fillId="18" borderId="2" xfId="0" applyFill="1" applyBorder="1" applyAlignment="1" applyProtection="1">
      <alignment horizontal="center" shrinkToFit="1"/>
      <protection locked="0"/>
    </xf>
    <xf numFmtId="0" fontId="0" fillId="18" borderId="3" xfId="0" applyFill="1" applyBorder="1" applyAlignment="1" applyProtection="1">
      <alignment horizontal="center" shrinkToFit="1"/>
      <protection locked="0"/>
    </xf>
    <xf numFmtId="49" fontId="0" fillId="16" borderId="1" xfId="0" applyNumberFormat="1" applyFill="1" applyBorder="1" applyAlignment="1">
      <alignment horizontal="center" shrinkToFit="1"/>
    </xf>
    <xf numFmtId="49" fontId="0" fillId="16" borderId="2" xfId="0" applyNumberFormat="1" applyFill="1" applyBorder="1" applyAlignment="1">
      <alignment horizontal="center" shrinkToFit="1"/>
    </xf>
    <xf numFmtId="49" fontId="0" fillId="16" borderId="3" xfId="0" applyNumberFormat="1" applyFill="1" applyBorder="1" applyAlignment="1">
      <alignment horizontal="center" shrinkToFit="1"/>
    </xf>
    <xf numFmtId="0" fontId="0" fillId="17" borderId="10" xfId="0" applyFill="1" applyBorder="1" applyAlignment="1" applyProtection="1">
      <alignment horizontal="center"/>
      <protection locked="0"/>
    </xf>
    <xf numFmtId="3" fontId="0" fillId="17" borderId="1" xfId="0" applyNumberFormat="1" applyFill="1" applyBorder="1" applyAlignment="1" applyProtection="1">
      <alignment horizontal="center"/>
      <protection locked="0"/>
    </xf>
    <xf numFmtId="3" fontId="0" fillId="17" borderId="2" xfId="0" applyNumberFormat="1" applyFill="1" applyBorder="1" applyAlignment="1" applyProtection="1">
      <alignment horizontal="center"/>
      <protection locked="0"/>
    </xf>
    <xf numFmtId="3" fontId="0" fillId="17" borderId="3" xfId="0" applyNumberFormat="1" applyFill="1" applyBorder="1" applyAlignment="1" applyProtection="1">
      <alignment horizontal="center"/>
      <protection locked="0"/>
    </xf>
    <xf numFmtId="165" fontId="0" fillId="12" borderId="1" xfId="0" applyNumberFormat="1" applyFill="1" applyBorder="1" applyAlignment="1" applyProtection="1">
      <alignment horizontal="center"/>
      <protection locked="0"/>
    </xf>
    <xf numFmtId="165" fontId="0" fillId="12" borderId="2" xfId="0" applyNumberFormat="1" applyFill="1" applyBorder="1" applyAlignment="1" applyProtection="1">
      <alignment horizontal="center"/>
      <protection locked="0"/>
    </xf>
    <xf numFmtId="165" fontId="0" fillId="12" borderId="3" xfId="0" applyNumberFormat="1" applyFill="1" applyBorder="1" applyAlignment="1" applyProtection="1">
      <alignment horizontal="center"/>
      <protection locked="0"/>
    </xf>
    <xf numFmtId="10" fontId="0" fillId="3" borderId="1" xfId="0" applyNumberFormat="1" applyFill="1" applyBorder="1" applyAlignment="1">
      <alignment horizontal="center"/>
    </xf>
    <xf numFmtId="10" fontId="0" fillId="3" borderId="2" xfId="0" applyNumberFormat="1" applyFill="1" applyBorder="1" applyAlignment="1">
      <alignment horizontal="center"/>
    </xf>
    <xf numFmtId="10" fontId="0" fillId="3" borderId="3" xfId="0" applyNumberFormat="1" applyFill="1" applyBorder="1" applyAlignment="1">
      <alignment horizontal="center"/>
    </xf>
    <xf numFmtId="0" fontId="0" fillId="0" borderId="14" xfId="0" applyBorder="1" applyAlignment="1">
      <alignment horizontal="center"/>
    </xf>
    <xf numFmtId="0" fontId="0" fillId="0" borderId="0" xfId="0" applyAlignment="1">
      <alignment horizontal="center"/>
    </xf>
    <xf numFmtId="0" fontId="21" fillId="0" borderId="14" xfId="0" applyFont="1" applyFill="1" applyBorder="1" applyAlignment="1">
      <alignment horizontal="center" shrinkToFit="1"/>
    </xf>
    <xf numFmtId="0" fontId="21" fillId="0" borderId="0" xfId="0" applyFont="1" applyFill="1" applyBorder="1" applyAlignment="1">
      <alignment horizontal="center" shrinkToFit="1"/>
    </xf>
    <xf numFmtId="18" fontId="0" fillId="2" borderId="1" xfId="0" applyNumberFormat="1" applyFill="1" applyBorder="1" applyAlignment="1">
      <alignment horizontal="center"/>
    </xf>
    <xf numFmtId="18" fontId="0" fillId="2" borderId="2" xfId="0" applyNumberFormat="1" applyFill="1" applyBorder="1" applyAlignment="1">
      <alignment horizontal="center"/>
    </xf>
    <xf numFmtId="18" fontId="0" fillId="2" borderId="3" xfId="0" applyNumberFormat="1" applyFill="1" applyBorder="1" applyAlignment="1">
      <alignment horizontal="center"/>
    </xf>
    <xf numFmtId="2" fontId="0" fillId="0" borderId="10" xfId="0" applyNumberFormat="1" applyBorder="1" applyAlignment="1">
      <alignment horizontal="center"/>
    </xf>
    <xf numFmtId="2" fontId="13" fillId="12" borderId="10" xfId="0" applyNumberFormat="1" applyFont="1" applyFill="1" applyBorder="1" applyAlignment="1" applyProtection="1">
      <alignment horizontal="center"/>
      <protection locked="0"/>
    </xf>
    <xf numFmtId="0" fontId="0" fillId="2" borderId="12" xfId="0" applyFill="1" applyBorder="1" applyAlignment="1">
      <alignment horizontal="center" shrinkToFit="1"/>
    </xf>
    <xf numFmtId="0" fontId="15" fillId="21" borderId="10" xfId="0" applyFont="1" applyFill="1" applyBorder="1" applyAlignment="1">
      <alignment horizontal="center"/>
    </xf>
    <xf numFmtId="0" fontId="0" fillId="2" borderId="12" xfId="0" applyFill="1" applyBorder="1" applyAlignment="1">
      <alignment horizontal="center"/>
    </xf>
    <xf numFmtId="0" fontId="1" fillId="21" borderId="10" xfId="0" applyFont="1" applyFill="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0" fillId="17" borderId="11"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2" xfId="0" applyFill="1" applyBorder="1" applyAlignment="1">
      <alignment horizontal="center" vertical="center" wrapText="1"/>
    </xf>
    <xf numFmtId="178" fontId="0" fillId="17" borderId="10" xfId="0" applyNumberFormat="1" applyFill="1" applyBorder="1" applyAlignment="1">
      <alignment horizont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5" fillId="30" borderId="10" xfId="0" applyFont="1" applyFill="1" applyBorder="1" applyAlignment="1">
      <alignment horizontal="center"/>
    </xf>
    <xf numFmtId="0" fontId="0" fillId="2" borderId="1" xfId="0" applyFill="1" applyBorder="1" applyAlignment="1">
      <alignment horizontal="center" shrinkToFit="1"/>
    </xf>
    <xf numFmtId="0" fontId="0" fillId="2" borderId="3" xfId="0" applyFill="1" applyBorder="1" applyAlignment="1">
      <alignment horizontal="center" shrinkToFit="1"/>
    </xf>
    <xf numFmtId="0" fontId="0" fillId="2" borderId="10" xfId="0" applyFill="1" applyBorder="1" applyAlignment="1">
      <alignment horizontal="center" vertical="center" wrapText="1"/>
    </xf>
    <xf numFmtId="0" fontId="11" fillId="2" borderId="10" xfId="0" applyFont="1" applyFill="1" applyBorder="1" applyAlignment="1">
      <alignment horizontal="center" vertical="center"/>
    </xf>
    <xf numFmtId="0" fontId="54" fillId="0" borderId="0" xfId="0" applyFont="1" applyBorder="1" applyAlignment="1">
      <alignment horizontal="center"/>
    </xf>
    <xf numFmtId="0" fontId="52" fillId="0" borderId="45" xfId="0" applyFont="1" applyBorder="1" applyAlignment="1">
      <alignment horizontal="center"/>
    </xf>
    <xf numFmtId="0" fontId="0" fillId="17" borderId="10" xfId="0" applyNumberFormat="1" applyFill="1" applyBorder="1" applyAlignment="1">
      <alignment horizontal="center"/>
    </xf>
    <xf numFmtId="0" fontId="0" fillId="17" borderId="1" xfId="0" applyNumberFormat="1" applyFill="1" applyBorder="1" applyAlignment="1">
      <alignment horizontal="center"/>
    </xf>
    <xf numFmtId="0" fontId="0" fillId="17" borderId="2" xfId="0" applyNumberFormat="1" applyFill="1" applyBorder="1" applyAlignment="1">
      <alignment horizontal="center"/>
    </xf>
    <xf numFmtId="0" fontId="0" fillId="17" borderId="3" xfId="0" applyNumberFormat="1" applyFill="1" applyBorder="1" applyAlignment="1">
      <alignment horizontal="center"/>
    </xf>
    <xf numFmtId="165" fontId="0" fillId="2" borderId="1" xfId="0" applyNumberFormat="1" applyFill="1" applyBorder="1" applyAlignment="1">
      <alignment horizontal="center"/>
    </xf>
    <xf numFmtId="165" fontId="0" fillId="2" borderId="2" xfId="0" applyNumberFormat="1" applyFill="1" applyBorder="1" applyAlignment="1">
      <alignment horizontal="center"/>
    </xf>
    <xf numFmtId="0" fontId="0" fillId="2" borderId="1" xfId="0" applyNumberFormat="1" applyFill="1" applyBorder="1" applyAlignment="1">
      <alignment horizontal="center"/>
    </xf>
    <xf numFmtId="0" fontId="0" fillId="2" borderId="2" xfId="0" applyNumberFormat="1" applyFill="1" applyBorder="1" applyAlignment="1">
      <alignment horizontal="center"/>
    </xf>
    <xf numFmtId="10" fontId="0" fillId="2" borderId="1" xfId="0" applyNumberFormat="1" applyFill="1" applyBorder="1" applyAlignment="1">
      <alignment horizontal="center"/>
    </xf>
    <xf numFmtId="10" fontId="0" fillId="2" borderId="2" xfId="0" applyNumberFormat="1" applyFill="1" applyBorder="1" applyAlignment="1">
      <alignment horizontal="center"/>
    </xf>
    <xf numFmtId="0" fontId="0" fillId="17" borderId="10" xfId="0" applyFill="1" applyBorder="1" applyAlignment="1">
      <alignment horizontal="center" vertical="center" wrapText="1"/>
    </xf>
    <xf numFmtId="0" fontId="0" fillId="0" borderId="13" xfId="0" applyFill="1" applyBorder="1" applyAlignment="1">
      <alignment horizontal="center" vertical="top" wrapText="1"/>
    </xf>
    <xf numFmtId="0" fontId="53" fillId="0" borderId="0" xfId="0" applyFont="1" applyAlignment="1">
      <alignment horizontal="center" vertical="center"/>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3" xfId="0" applyFill="1" applyBorder="1" applyAlignment="1">
      <alignment horizontal="center" vertical="center" wrapText="1"/>
    </xf>
    <xf numFmtId="173" fontId="0" fillId="17" borderId="1" xfId="0" applyNumberFormat="1" applyFill="1" applyBorder="1" applyAlignment="1">
      <alignment horizontal="center"/>
    </xf>
    <xf numFmtId="173" fontId="0" fillId="17" borderId="2" xfId="0" applyNumberFormat="1" applyFill="1" applyBorder="1" applyAlignment="1">
      <alignment horizontal="center"/>
    </xf>
    <xf numFmtId="10" fontId="0" fillId="2" borderId="1" xfId="0" quotePrefix="1" applyNumberFormat="1" applyFill="1" applyBorder="1" applyAlignment="1">
      <alignment horizontal="center"/>
    </xf>
    <xf numFmtId="0" fontId="0" fillId="2" borderId="2" xfId="0" quotePrefix="1" applyNumberFormat="1" applyFill="1" applyBorder="1" applyAlignment="1">
      <alignment horizontal="center"/>
    </xf>
    <xf numFmtId="178" fontId="0" fillId="2" borderId="1" xfId="0" applyNumberFormat="1" applyFill="1" applyBorder="1" applyAlignment="1">
      <alignment horizontal="center"/>
    </xf>
    <xf numFmtId="178" fontId="0" fillId="2" borderId="2" xfId="0" applyNumberFormat="1" applyFill="1" applyBorder="1" applyAlignment="1">
      <alignment horizontal="center"/>
    </xf>
    <xf numFmtId="0" fontId="0" fillId="2" borderId="13" xfId="0" applyFill="1" applyBorder="1" applyAlignment="1">
      <alignment horizontal="center" vertical="top" wrapText="1"/>
    </xf>
    <xf numFmtId="178" fontId="0" fillId="0" borderId="0" xfId="0" applyNumberFormat="1" applyBorder="1" applyAlignment="1">
      <alignment horizontal="center" shrinkToFit="1"/>
    </xf>
    <xf numFmtId="178" fontId="3" fillId="0" borderId="2" xfId="0" applyNumberFormat="1" applyFont="1" applyBorder="1" applyAlignment="1">
      <alignment horizontal="center" shrinkToFit="1"/>
    </xf>
    <xf numFmtId="0" fontId="38" fillId="0" borderId="0" xfId="0" applyFont="1" applyBorder="1" applyAlignment="1">
      <alignment horizontal="center"/>
    </xf>
    <xf numFmtId="171" fontId="0" fillId="0" borderId="4" xfId="0" applyNumberFormat="1" applyBorder="1" applyAlignment="1">
      <alignment horizontal="center"/>
    </xf>
    <xf numFmtId="0" fontId="0" fillId="0" borderId="4" xfId="0" applyBorder="1" applyAlignment="1">
      <alignment horizontal="center"/>
    </xf>
    <xf numFmtId="0" fontId="47" fillId="0" borderId="0" xfId="0" applyFont="1" applyAlignment="1">
      <alignment horizontal="center"/>
    </xf>
    <xf numFmtId="179" fontId="0" fillId="0" borderId="4" xfId="0" applyNumberFormat="1" applyBorder="1" applyAlignment="1">
      <alignment horizontal="center"/>
    </xf>
    <xf numFmtId="0" fontId="51" fillId="0" borderId="45" xfId="0" applyFont="1" applyBorder="1" applyAlignment="1">
      <alignment horizontal="center"/>
    </xf>
    <xf numFmtId="0" fontId="15" fillId="24" borderId="10" xfId="0" applyFont="1" applyFill="1" applyBorder="1" applyAlignment="1">
      <alignment horizontal="center"/>
    </xf>
    <xf numFmtId="178" fontId="0" fillId="0" borderId="4" xfId="0" applyNumberFormat="1" applyBorder="1" applyAlignment="1">
      <alignment horizontal="center" shrinkToFit="1"/>
    </xf>
    <xf numFmtId="0" fontId="0" fillId="0" borderId="2" xfId="0" applyBorder="1" applyAlignment="1">
      <alignment horizontal="center"/>
    </xf>
    <xf numFmtId="178" fontId="0" fillId="0" borderId="4" xfId="0" applyNumberFormat="1" applyBorder="1" applyAlignment="1">
      <alignment horizontal="center"/>
    </xf>
    <xf numFmtId="0" fontId="11" fillId="0" borderId="0" xfId="0" applyFont="1" applyBorder="1" applyAlignment="1">
      <alignment horizontal="center"/>
    </xf>
    <xf numFmtId="3" fontId="0" fillId="0" borderId="4" xfId="0" applyNumberFormat="1" applyBorder="1" applyAlignment="1">
      <alignment horizontal="center"/>
    </xf>
    <xf numFmtId="9" fontId="0" fillId="0" borderId="4" xfId="0" applyNumberFormat="1" applyBorder="1" applyAlignment="1">
      <alignment horizontal="center"/>
    </xf>
    <xf numFmtId="0" fontId="15" fillId="8" borderId="10" xfId="0" applyFont="1" applyFill="1" applyBorder="1" applyAlignment="1">
      <alignment horizontal="center"/>
    </xf>
    <xf numFmtId="0" fontId="13" fillId="2" borderId="10" xfId="0" applyFont="1" applyFill="1" applyBorder="1" applyAlignment="1">
      <alignment horizontal="center"/>
    </xf>
    <xf numFmtId="0" fontId="0" fillId="0" borderId="10" xfId="0" applyBorder="1" applyAlignment="1">
      <alignment horizontal="left"/>
    </xf>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 fillId="5" borderId="10" xfId="0" applyFont="1" applyFill="1" applyBorder="1" applyAlignment="1">
      <alignment horizontal="center"/>
    </xf>
    <xf numFmtId="0" fontId="6" fillId="6" borderId="10" xfId="0" applyFont="1" applyFill="1" applyBorder="1" applyAlignment="1">
      <alignment horizontal="center"/>
    </xf>
    <xf numFmtId="0" fontId="11" fillId="3" borderId="10" xfId="0" applyFont="1" applyFill="1" applyBorder="1" applyAlignment="1">
      <alignment horizontal="center"/>
    </xf>
    <xf numFmtId="0" fontId="1" fillId="4" borderId="10" xfId="0" applyFont="1" applyFill="1" applyBorder="1" applyAlignment="1">
      <alignment horizontal="center"/>
    </xf>
    <xf numFmtId="164" fontId="0" fillId="0" borderId="10" xfId="0" applyNumberFormat="1"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center" shrinkToFit="1"/>
    </xf>
    <xf numFmtId="0" fontId="0" fillId="0" borderId="10" xfId="0" applyBorder="1" applyAlignment="1">
      <alignment horizontal="center"/>
    </xf>
    <xf numFmtId="0" fontId="6" fillId="7" borderId="10" xfId="0" applyFont="1" applyFill="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0" fontId="11" fillId="7" borderId="10" xfId="0" applyFont="1" applyFill="1" applyBorder="1" applyAlignment="1">
      <alignment horizontal="center"/>
    </xf>
    <xf numFmtId="8" fontId="0" fillId="10" borderId="10" xfId="0" applyNumberFormat="1" applyFill="1" applyBorder="1" applyAlignment="1">
      <alignment horizontal="center"/>
    </xf>
    <xf numFmtId="0" fontId="0" fillId="10" borderId="10" xfId="0" applyNumberFormat="1" applyFill="1" applyBorder="1" applyAlignment="1">
      <alignment horizontal="center"/>
    </xf>
    <xf numFmtId="0" fontId="0" fillId="10" borderId="1"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0" fillId="2" borderId="10" xfId="0" applyFill="1" applyBorder="1" applyAlignment="1">
      <alignment horizontal="center" wrapText="1"/>
    </xf>
    <xf numFmtId="0" fontId="0" fillId="0" borderId="1" xfId="0" applyNumberFormat="1" applyFill="1" applyBorder="1" applyAlignment="1">
      <alignment horizontal="center"/>
    </xf>
    <xf numFmtId="0" fontId="0" fillId="0" borderId="2" xfId="0" applyNumberFormat="1" applyFill="1" applyBorder="1" applyAlignment="1">
      <alignment horizontal="center"/>
    </xf>
    <xf numFmtId="0" fontId="0" fillId="0" borderId="3" xfId="0" applyNumberForma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6" borderId="8"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1" fillId="5" borderId="10" xfId="0" applyFont="1" applyFill="1" applyBorder="1" applyAlignment="1">
      <alignment horizontal="center" vertical="center"/>
    </xf>
    <xf numFmtId="0" fontId="0" fillId="0" borderId="10" xfId="0" applyBorder="1" applyAlignment="1">
      <alignment horizontal="left" vertical="center" indent="1"/>
    </xf>
    <xf numFmtId="0" fontId="6" fillId="7" borderId="12" xfId="0" applyFont="1" applyFill="1" applyBorder="1" applyAlignment="1">
      <alignment horizontal="center"/>
    </xf>
    <xf numFmtId="0" fontId="1" fillId="5" borderId="10" xfId="0" applyFont="1" applyFill="1" applyBorder="1" applyAlignment="1">
      <alignment horizontal="center" wrapText="1"/>
    </xf>
    <xf numFmtId="0" fontId="25" fillId="25" borderId="10" xfId="0" applyFont="1" applyFill="1" applyBorder="1" applyAlignment="1">
      <alignment horizontal="center"/>
    </xf>
    <xf numFmtId="0" fontId="0" fillId="2" borderId="11" xfId="0" applyFill="1" applyBorder="1" applyAlignment="1">
      <alignment horizontal="center"/>
    </xf>
    <xf numFmtId="168" fontId="0" fillId="0" borderId="10" xfId="0" applyNumberFormat="1" applyBorder="1" applyAlignment="1">
      <alignment horizontal="center"/>
    </xf>
    <xf numFmtId="0" fontId="1" fillId="4" borderId="8" xfId="0" applyFont="1" applyFill="1" applyBorder="1" applyAlignment="1">
      <alignment horizontal="center"/>
    </xf>
    <xf numFmtId="0" fontId="1" fillId="4" borderId="4" xfId="0" applyFont="1" applyFill="1" applyBorder="1" applyAlignment="1">
      <alignment horizontal="center"/>
    </xf>
    <xf numFmtId="0" fontId="1" fillId="5" borderId="5" xfId="0" applyFont="1" applyFill="1" applyBorder="1" applyAlignment="1">
      <alignment horizontal="center" wrapText="1"/>
    </xf>
    <xf numFmtId="0" fontId="1" fillId="5" borderId="6" xfId="0" applyFont="1" applyFill="1" applyBorder="1" applyAlignment="1">
      <alignment horizontal="center" wrapText="1"/>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4" xfId="0" applyFont="1" applyFill="1" applyBorder="1" applyAlignment="1">
      <alignment horizontal="center" wrapText="1"/>
    </xf>
    <xf numFmtId="0" fontId="1" fillId="5" borderId="9" xfId="0" applyFont="1" applyFill="1" applyBorder="1" applyAlignment="1">
      <alignment horizontal="center" wrapText="1"/>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18" fontId="0" fillId="2" borderId="10" xfId="0" applyNumberForma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5" borderId="3" xfId="0" applyFont="1" applyFill="1" applyBorder="1" applyAlignment="1">
      <alignment horizontal="center"/>
    </xf>
    <xf numFmtId="0" fontId="0" fillId="0" borderId="10" xfId="0" applyFill="1" applyBorder="1" applyAlignment="1">
      <alignment horizontal="center" wrapText="1"/>
    </xf>
    <xf numFmtId="0" fontId="25" fillId="25" borderId="5" xfId="0" applyFont="1" applyFill="1" applyBorder="1" applyAlignment="1">
      <alignment horizontal="center" vertical="center"/>
    </xf>
    <xf numFmtId="0" fontId="25" fillId="25" borderId="6" xfId="0" applyFont="1" applyFill="1" applyBorder="1" applyAlignment="1">
      <alignment horizontal="center" vertical="center"/>
    </xf>
    <xf numFmtId="0" fontId="25" fillId="25" borderId="7" xfId="0" applyFont="1" applyFill="1" applyBorder="1" applyAlignment="1">
      <alignment horizontal="center" vertical="center"/>
    </xf>
    <xf numFmtId="0" fontId="25" fillId="25" borderId="8" xfId="0" applyFont="1" applyFill="1" applyBorder="1" applyAlignment="1">
      <alignment horizontal="center" vertical="center"/>
    </xf>
    <xf numFmtId="0" fontId="25" fillId="25" borderId="4" xfId="0" applyFont="1" applyFill="1" applyBorder="1" applyAlignment="1">
      <alignment horizontal="center" vertical="center"/>
    </xf>
    <xf numFmtId="0" fontId="25" fillId="25" borderId="9" xfId="0" applyFont="1" applyFill="1" applyBorder="1" applyAlignment="1">
      <alignment horizontal="center" vertical="center"/>
    </xf>
    <xf numFmtId="0" fontId="6" fillId="6" borderId="8" xfId="0" applyFont="1" applyFill="1" applyBorder="1" applyAlignment="1">
      <alignment horizontal="center"/>
    </xf>
    <xf numFmtId="0" fontId="6" fillId="6" borderId="4" xfId="0" applyFont="1" applyFill="1" applyBorder="1" applyAlignment="1">
      <alignment horizontal="center"/>
    </xf>
    <xf numFmtId="0" fontId="6" fillId="6" borderId="9" xfId="0" applyFont="1" applyFill="1" applyBorder="1" applyAlignment="1">
      <alignment horizontal="center"/>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11" fillId="6" borderId="5"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164" fontId="0" fillId="0" borderId="10" xfId="0" applyNumberFormat="1" applyBorder="1" applyAlignment="1">
      <alignment horizontal="center" vertical="center"/>
    </xf>
    <xf numFmtId="0" fontId="11" fillId="6" borderId="10" xfId="0" applyFont="1" applyFill="1" applyBorder="1" applyAlignment="1">
      <alignment horizontal="center"/>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0" fontId="11" fillId="6" borderId="1" xfId="0" applyFont="1" applyFill="1" applyBorder="1" applyAlignment="1">
      <alignment horizontal="center"/>
    </xf>
    <xf numFmtId="0" fontId="11" fillId="6" borderId="2" xfId="0" applyFont="1" applyFill="1" applyBorder="1" applyAlignment="1">
      <alignment horizontal="center"/>
    </xf>
    <xf numFmtId="0" fontId="11" fillId="6" borderId="3" xfId="0" applyFont="1" applyFill="1" applyBorder="1" applyAlignment="1">
      <alignment horizont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164" fontId="0" fillId="0" borderId="1" xfId="0" applyNumberFormat="1" applyBorder="1" applyAlignment="1">
      <alignment horizontal="center"/>
    </xf>
    <xf numFmtId="164" fontId="0" fillId="0" borderId="3" xfId="0" applyNumberFormat="1" applyBorder="1" applyAlignment="1">
      <alignment horizontal="center"/>
    </xf>
    <xf numFmtId="2" fontId="0" fillId="0" borderId="1" xfId="0" applyNumberFormat="1" applyBorder="1" applyAlignment="1">
      <alignment horizontal="center"/>
    </xf>
    <xf numFmtId="2" fontId="0" fillId="0" borderId="3" xfId="0" applyNumberFormat="1" applyBorder="1" applyAlignment="1">
      <alignment horizont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0" xfId="0" applyFont="1" applyFill="1" applyBorder="1" applyAlignment="1">
      <alignment horizontal="center" wrapText="1"/>
    </xf>
    <xf numFmtId="165" fontId="0" fillId="0" borderId="10" xfId="0" applyNumberFormat="1" applyBorder="1" applyAlignment="1">
      <alignment horizont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2" xfId="0" applyFont="1" applyFill="1" applyBorder="1" applyAlignment="1">
      <alignment horizontal="center"/>
    </xf>
    <xf numFmtId="2" fontId="0" fillId="0" borderId="1" xfId="0" applyNumberFormat="1" applyFill="1" applyBorder="1" applyAlignment="1">
      <alignment horizontal="center"/>
    </xf>
    <xf numFmtId="2" fontId="0" fillId="0" borderId="2" xfId="0" applyNumberFormat="1" applyFill="1" applyBorder="1" applyAlignment="1">
      <alignment horizontal="center"/>
    </xf>
    <xf numFmtId="0" fontId="0" fillId="0" borderId="12" xfId="0" applyBorder="1" applyAlignment="1">
      <alignment horizontal="center"/>
    </xf>
    <xf numFmtId="8" fontId="0" fillId="0" borderId="1" xfId="0" applyNumberFormat="1" applyBorder="1" applyAlignment="1">
      <alignment horizontal="center"/>
    </xf>
    <xf numFmtId="8" fontId="0" fillId="0" borderId="3" xfId="0" applyNumberFormat="1" applyBorder="1" applyAlignment="1">
      <alignment horizontal="center"/>
    </xf>
    <xf numFmtId="0" fontId="1" fillId="4" borderId="10" xfId="0" applyFont="1" applyFill="1" applyBorder="1" applyAlignment="1">
      <alignment horizontal="center"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45" fillId="2" borderId="5" xfId="0" applyFont="1" applyFill="1" applyBorder="1" applyAlignment="1">
      <alignment horizontal="center" wrapText="1"/>
    </xf>
    <xf numFmtId="0" fontId="45" fillId="2" borderId="6" xfId="0" applyFont="1" applyFill="1" applyBorder="1" applyAlignment="1">
      <alignment horizontal="center" wrapText="1"/>
    </xf>
    <xf numFmtId="0" fontId="45" fillId="2" borderId="7" xfId="0" applyFont="1" applyFill="1" applyBorder="1" applyAlignment="1">
      <alignment horizontal="center" wrapText="1"/>
    </xf>
    <xf numFmtId="0" fontId="45" fillId="2" borderId="8" xfId="0" applyFont="1" applyFill="1" applyBorder="1" applyAlignment="1">
      <alignment horizontal="center" wrapText="1"/>
    </xf>
    <xf numFmtId="0" fontId="45" fillId="2" borderId="4" xfId="0" applyFont="1" applyFill="1" applyBorder="1" applyAlignment="1">
      <alignment horizontal="center" wrapText="1"/>
    </xf>
    <xf numFmtId="0" fontId="45" fillId="2" borderId="9" xfId="0" applyFont="1" applyFill="1" applyBorder="1" applyAlignment="1">
      <alignment horizontal="center" wrapText="1"/>
    </xf>
    <xf numFmtId="0" fontId="0" fillId="2" borderId="10" xfId="0" applyFill="1" applyBorder="1" applyAlignment="1">
      <alignment horizontal="center" vertical="center"/>
    </xf>
    <xf numFmtId="0" fontId="0" fillId="10" borderId="10" xfId="0" applyFill="1" applyBorder="1" applyAlignment="1">
      <alignment horizontal="center"/>
    </xf>
    <xf numFmtId="0" fontId="0" fillId="10" borderId="1" xfId="0" applyNumberFormat="1" applyFill="1" applyBorder="1" applyAlignment="1">
      <alignment horizontal="center"/>
    </xf>
    <xf numFmtId="0" fontId="0" fillId="10" borderId="2" xfId="0" applyNumberFormat="1" applyFill="1" applyBorder="1" applyAlignment="1">
      <alignment horizontal="center"/>
    </xf>
    <xf numFmtId="0" fontId="0" fillId="11" borderId="1" xfId="0" applyFill="1" applyBorder="1" applyAlignment="1">
      <alignment horizontal="center"/>
    </xf>
    <xf numFmtId="0" fontId="0" fillId="11" borderId="3" xfId="0" applyFill="1" applyBorder="1" applyAlignment="1">
      <alignment horizontal="center"/>
    </xf>
    <xf numFmtId="0" fontId="0" fillId="10" borderId="3" xfId="0" applyNumberFormat="1" applyFill="1" applyBorder="1" applyAlignment="1">
      <alignment horizontal="center"/>
    </xf>
    <xf numFmtId="0" fontId="13" fillId="2" borderId="10" xfId="0" applyFont="1" applyFill="1" applyBorder="1" applyAlignment="1">
      <alignment horizontal="left"/>
    </xf>
    <xf numFmtId="0" fontId="0" fillId="2" borderId="13" xfId="0" applyFont="1" applyFill="1" applyBorder="1" applyAlignment="1">
      <alignment horizontal="center"/>
    </xf>
    <xf numFmtId="0" fontId="0" fillId="2" borderId="8" xfId="0" applyFont="1" applyFill="1" applyBorder="1" applyAlignment="1">
      <alignment horizontal="center"/>
    </xf>
    <xf numFmtId="0" fontId="0" fillId="2" borderId="4" xfId="0" applyFont="1" applyFill="1" applyBorder="1" applyAlignment="1">
      <alignment horizontal="center"/>
    </xf>
    <xf numFmtId="0" fontId="0" fillId="0" borderId="10" xfId="0" quotePrefix="1" applyBorder="1" applyAlignment="1">
      <alignment horizontal="center"/>
    </xf>
    <xf numFmtId="0" fontId="11" fillId="0" borderId="10" xfId="0" applyFont="1" applyBorder="1" applyAlignment="1">
      <alignment horizontal="center"/>
    </xf>
    <xf numFmtId="164" fontId="0" fillId="0" borderId="2" xfId="0" applyNumberFormat="1" applyBorder="1" applyAlignment="1">
      <alignment horizontal="center"/>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1" xfId="0" applyBorder="1" applyAlignment="1">
      <alignment horizontal="center"/>
    </xf>
    <xf numFmtId="0" fontId="6" fillId="6" borderId="10" xfId="0" applyFont="1" applyFill="1" applyBorder="1" applyAlignment="1">
      <alignment horizontal="center" vertical="center" wrapText="1"/>
    </xf>
    <xf numFmtId="0" fontId="14" fillId="6" borderId="1" xfId="0" applyFont="1" applyFill="1" applyBorder="1" applyAlignment="1">
      <alignment horizontal="center"/>
    </xf>
    <xf numFmtId="0" fontId="14" fillId="6" borderId="2" xfId="0" applyFont="1" applyFill="1" applyBorder="1" applyAlignment="1">
      <alignment horizontal="center"/>
    </xf>
    <xf numFmtId="0" fontId="14" fillId="6" borderId="3" xfId="0" applyFont="1" applyFill="1" applyBorder="1" applyAlignment="1">
      <alignment horizontal="center"/>
    </xf>
    <xf numFmtId="0" fontId="0" fillId="0" borderId="11" xfId="0" quotePrefix="1" applyBorder="1" applyAlignment="1">
      <alignment horizontal="center"/>
    </xf>
    <xf numFmtId="0" fontId="12" fillId="6" borderId="10" xfId="0" applyFont="1" applyFill="1" applyBorder="1" applyAlignment="1">
      <alignment horizontal="center" vertical="center"/>
    </xf>
    <xf numFmtId="164" fontId="0" fillId="0" borderId="2" xfId="0" applyNumberFormat="1" applyBorder="1" applyAlignment="1">
      <alignment horizontal="left"/>
    </xf>
    <xf numFmtId="164" fontId="0" fillId="0" borderId="3" xfId="0" applyNumberFormat="1" applyBorder="1" applyAlignment="1">
      <alignment horizontal="left"/>
    </xf>
    <xf numFmtId="0" fontId="0" fillId="0" borderId="10" xfId="0" applyNumberFormat="1" applyBorder="1" applyAlignment="1">
      <alignment horizontal="center"/>
    </xf>
    <xf numFmtId="0" fontId="14" fillId="6" borderId="10" xfId="0" applyFont="1" applyFill="1" applyBorder="1" applyAlignment="1">
      <alignment horizontal="center" vertical="center"/>
    </xf>
    <xf numFmtId="0" fontId="1" fillId="5" borderId="0" xfId="0" applyFont="1" applyFill="1" applyBorder="1" applyAlignment="1">
      <alignment horizontal="center" wrapText="1"/>
    </xf>
    <xf numFmtId="0" fontId="6" fillId="3" borderId="10" xfId="0" applyFont="1" applyFill="1" applyBorder="1" applyAlignment="1">
      <alignment horizontal="center"/>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6" fillId="3" borderId="10" xfId="0" applyFont="1" applyFill="1" applyBorder="1" applyAlignment="1">
      <alignment horizontal="center" wrapText="1"/>
    </xf>
    <xf numFmtId="0" fontId="0" fillId="0" borderId="10" xfId="0"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2" fontId="0" fillId="0" borderId="1" xfId="0" applyNumberFormat="1" applyBorder="1" applyAlignment="1">
      <alignment horizontal="center" vertical="center"/>
    </xf>
    <xf numFmtId="165" fontId="0" fillId="0" borderId="10" xfId="0" applyNumberFormat="1" applyBorder="1" applyAlignment="1">
      <alignment horizontal="center"/>
    </xf>
    <xf numFmtId="0" fontId="0" fillId="0" borderId="12" xfId="0" quotePrefix="1" applyBorder="1" applyAlignment="1">
      <alignment horizontal="center"/>
    </xf>
    <xf numFmtId="0" fontId="0" fillId="10" borderId="10" xfId="0" applyFill="1" applyBorder="1" applyAlignment="1"/>
    <xf numFmtId="0" fontId="0" fillId="0" borderId="10" xfId="0" applyFill="1" applyBorder="1" applyAlignment="1">
      <alignment horizontal="center"/>
    </xf>
    <xf numFmtId="8" fontId="13" fillId="0" borderId="10" xfId="0" applyNumberFormat="1" applyFont="1" applyFill="1" applyBorder="1" applyAlignment="1">
      <alignment horizontal="center"/>
    </xf>
    <xf numFmtId="0" fontId="0" fillId="2" borderId="16" xfId="0" applyFill="1" applyBorder="1" applyAlignment="1">
      <alignment horizontal="center"/>
    </xf>
    <xf numFmtId="0" fontId="0" fillId="0" borderId="16" xfId="0"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1" fillId="6" borderId="8" xfId="0" applyFont="1" applyFill="1" applyBorder="1" applyAlignment="1">
      <alignment horizontal="center"/>
    </xf>
    <xf numFmtId="0" fontId="11" fillId="6" borderId="4" xfId="0" applyFont="1" applyFill="1" applyBorder="1" applyAlignment="1">
      <alignment horizontal="center"/>
    </xf>
    <xf numFmtId="0" fontId="11" fillId="6" borderId="9" xfId="0" applyFont="1" applyFill="1" applyBorder="1" applyAlignment="1">
      <alignment horizontal="center"/>
    </xf>
    <xf numFmtId="0" fontId="0" fillId="9" borderId="10" xfId="0" applyFill="1" applyBorder="1" applyAlignment="1">
      <alignment horizontal="center"/>
    </xf>
    <xf numFmtId="0" fontId="0" fillId="0" borderId="1" xfId="0" applyBorder="1" applyAlignment="1">
      <alignment horizontal="center" shrinkToFit="1"/>
    </xf>
    <xf numFmtId="0" fontId="0" fillId="0" borderId="2" xfId="0" applyBorder="1" applyAlignment="1">
      <alignment horizontal="center" shrinkToFit="1"/>
    </xf>
    <xf numFmtId="0" fontId="0" fillId="0" borderId="3" xfId="0" applyBorder="1" applyAlignment="1">
      <alignment horizontal="center" shrinkToFit="1"/>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3" xfId="0" applyBorder="1" applyAlignment="1">
      <alignment horizontal="center" vertical="center"/>
    </xf>
    <xf numFmtId="0" fontId="0" fillId="2" borderId="11" xfId="0" applyFill="1" applyBorder="1" applyAlignment="1">
      <alignment horizontal="left" indent="1"/>
    </xf>
    <xf numFmtId="0" fontId="0" fillId="2" borderId="5" xfId="0" applyFill="1" applyBorder="1" applyAlignment="1">
      <alignment horizontal="left" indent="1"/>
    </xf>
    <xf numFmtId="9" fontId="0" fillId="0" borderId="10" xfId="0" applyNumberFormat="1" applyBorder="1" applyAlignment="1">
      <alignment horizont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1" fillId="4" borderId="3" xfId="0" applyFont="1" applyFill="1" applyBorder="1" applyAlignment="1">
      <alignment horizontal="center"/>
    </xf>
    <xf numFmtId="2" fontId="0" fillId="0" borderId="10" xfId="0" applyNumberFormat="1" applyBorder="1" applyAlignment="1">
      <alignment horizont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10" fontId="0" fillId="0" borderId="10" xfId="0" applyNumberFormat="1" applyBorder="1" applyAlignment="1">
      <alignment horizontal="center"/>
    </xf>
    <xf numFmtId="0" fontId="1" fillId="4" borderId="14" xfId="0" applyFont="1" applyFill="1" applyBorder="1" applyAlignment="1">
      <alignment horizontal="center"/>
    </xf>
    <xf numFmtId="0" fontId="1" fillId="4" borderId="0" xfId="0" applyFont="1" applyFill="1" applyBorder="1" applyAlignment="1">
      <alignment horizontal="center"/>
    </xf>
    <xf numFmtId="0" fontId="6" fillId="3" borderId="14" xfId="0" applyFont="1" applyFill="1" applyBorder="1" applyAlignment="1">
      <alignment horizontal="center"/>
    </xf>
    <xf numFmtId="0" fontId="6" fillId="3" borderId="0" xfId="0" applyFont="1" applyFill="1" applyBorder="1" applyAlignment="1">
      <alignment horizontal="center"/>
    </xf>
    <xf numFmtId="0" fontId="6" fillId="3" borderId="17" xfId="0" applyFont="1" applyFill="1" applyBorder="1" applyAlignment="1">
      <alignment horizontal="center"/>
    </xf>
    <xf numFmtId="0" fontId="6" fillId="3" borderId="8" xfId="0" applyFont="1" applyFill="1" applyBorder="1" applyAlignment="1">
      <alignment horizontal="center"/>
    </xf>
    <xf numFmtId="0" fontId="6" fillId="3" borderId="4" xfId="0" applyFont="1" applyFill="1" applyBorder="1" applyAlignment="1">
      <alignment horizontal="center"/>
    </xf>
    <xf numFmtId="0" fontId="6" fillId="3" borderId="9" xfId="0" applyFont="1" applyFill="1" applyBorder="1" applyAlignment="1">
      <alignment horizontal="center"/>
    </xf>
    <xf numFmtId="0" fontId="6" fillId="7" borderId="11" xfId="0" applyFont="1" applyFill="1" applyBorder="1" applyAlignment="1">
      <alignment horizontal="center"/>
    </xf>
    <xf numFmtId="9" fontId="0" fillId="0" borderId="10" xfId="0" applyNumberFormat="1" applyBorder="1" applyAlignment="1">
      <alignment horizontal="center" vertical="center"/>
    </xf>
    <xf numFmtId="0" fontId="14" fillId="3" borderId="10" xfId="0" applyFont="1" applyFill="1" applyBorder="1" applyAlignment="1">
      <alignment horizontal="center" vertical="center"/>
    </xf>
    <xf numFmtId="166" fontId="0" fillId="0" borderId="10" xfId="0" applyNumberFormat="1" applyBorder="1" applyAlignment="1">
      <alignment horizontal="center"/>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6" fillId="6" borderId="7" xfId="0" applyFont="1" applyFill="1" applyBorder="1" applyAlignment="1">
      <alignment horizontal="center" wrapText="1"/>
    </xf>
    <xf numFmtId="0" fontId="6" fillId="6" borderId="8" xfId="0" applyFont="1" applyFill="1" applyBorder="1" applyAlignment="1">
      <alignment horizontal="center" wrapText="1"/>
    </xf>
    <xf numFmtId="0" fontId="6" fillId="6" borderId="4" xfId="0" applyFont="1" applyFill="1" applyBorder="1" applyAlignment="1">
      <alignment horizontal="center" wrapText="1"/>
    </xf>
    <xf numFmtId="0" fontId="6" fillId="6" borderId="9" xfId="0" applyFont="1" applyFill="1" applyBorder="1" applyAlignment="1">
      <alignment horizontal="center"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8" xfId="0" applyFont="1" applyFill="1" applyBorder="1" applyAlignment="1">
      <alignment horizontal="center" wrapText="1"/>
    </xf>
    <xf numFmtId="0" fontId="1" fillId="4" borderId="4" xfId="0" applyFont="1" applyFill="1" applyBorder="1" applyAlignment="1">
      <alignment horizontal="center" wrapText="1"/>
    </xf>
    <xf numFmtId="0" fontId="1" fillId="4" borderId="9" xfId="0" applyFont="1" applyFill="1" applyBorder="1" applyAlignment="1">
      <alignment horizontal="center" wrapText="1"/>
    </xf>
    <xf numFmtId="1" fontId="0" fillId="0" borderId="10" xfId="0" applyNumberFormat="1" applyBorder="1" applyAlignment="1">
      <alignment horizontal="center"/>
    </xf>
    <xf numFmtId="0" fontId="1" fillId="5" borderId="1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23" fillId="27" borderId="10" xfId="0" applyFont="1" applyFill="1" applyBorder="1" applyAlignment="1">
      <alignment horizontal="center"/>
    </xf>
    <xf numFmtId="0" fontId="0" fillId="0" borderId="1"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1" fillId="27" borderId="10" xfId="0" applyFont="1" applyFill="1" applyBorder="1" applyAlignment="1">
      <alignment horizontal="center"/>
    </xf>
    <xf numFmtId="0" fontId="28" fillId="27" borderId="5" xfId="0" applyFont="1" applyFill="1" applyBorder="1" applyAlignment="1">
      <alignment horizontal="center" vertical="center"/>
    </xf>
    <xf numFmtId="0" fontId="28" fillId="27" borderId="6" xfId="0" applyFont="1" applyFill="1" applyBorder="1" applyAlignment="1">
      <alignment horizontal="center" vertical="center"/>
    </xf>
    <xf numFmtId="0" fontId="1" fillId="27" borderId="1" xfId="0" applyFont="1" applyFill="1" applyBorder="1" applyAlignment="1">
      <alignment horizontal="center"/>
    </xf>
    <xf numFmtId="0" fontId="1" fillId="27" borderId="2" xfId="0" applyFont="1" applyFill="1" applyBorder="1" applyAlignment="1">
      <alignment horizontal="center"/>
    </xf>
    <xf numFmtId="0" fontId="11" fillId="0" borderId="1" xfId="0" applyFont="1" applyBorder="1" applyAlignment="1">
      <alignment horizontal="center"/>
    </xf>
    <xf numFmtId="0" fontId="11" fillId="0" borderId="3" xfId="0" applyFont="1" applyBorder="1" applyAlignment="1">
      <alignment horizontal="center"/>
    </xf>
    <xf numFmtId="0" fontId="1" fillId="27" borderId="1" xfId="0" applyFont="1" applyFill="1" applyBorder="1" applyAlignment="1">
      <alignment horizontal="left" vertical="center" indent="1"/>
    </xf>
    <xf numFmtId="0" fontId="1" fillId="27" borderId="2" xfId="0" applyFont="1" applyFill="1" applyBorder="1" applyAlignment="1">
      <alignment horizontal="left" vertical="center" indent="1"/>
    </xf>
    <xf numFmtId="0" fontId="1" fillId="27" borderId="3" xfId="0" applyFont="1" applyFill="1" applyBorder="1" applyAlignment="1">
      <alignment horizontal="left" vertical="center" indent="1"/>
    </xf>
    <xf numFmtId="2" fontId="0" fillId="0" borderId="29" xfId="0" applyNumberFormat="1" applyBorder="1" applyAlignment="1">
      <alignment horizontal="center" vertical="center"/>
    </xf>
    <xf numFmtId="2" fontId="0" fillId="0" borderId="30" xfId="0" applyNumberFormat="1" applyBorder="1" applyAlignment="1">
      <alignment horizontal="center" vertical="center"/>
    </xf>
    <xf numFmtId="0" fontId="11" fillId="26" borderId="1" xfId="0" applyFont="1" applyFill="1" applyBorder="1" applyAlignment="1">
      <alignment horizontal="center"/>
    </xf>
    <xf numFmtId="0" fontId="11" fillId="26" borderId="3" xfId="0" applyFont="1" applyFill="1" applyBorder="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xf>
    <xf numFmtId="0" fontId="6" fillId="0" borderId="3" xfId="0" applyFont="1" applyBorder="1" applyAlignment="1">
      <alignment horizontal="center"/>
    </xf>
    <xf numFmtId="0" fontId="32"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9" fillId="0" borderId="1" xfId="0" applyFont="1" applyBorder="1" applyAlignment="1">
      <alignment horizontal="center"/>
    </xf>
    <xf numFmtId="0" fontId="0" fillId="0" borderId="3" xfId="0" applyFont="1" applyBorder="1" applyAlignment="1">
      <alignment horizontal="center"/>
    </xf>
    <xf numFmtId="0" fontId="0" fillId="0" borderId="19" xfId="0" applyBorder="1" applyAlignment="1">
      <alignment horizontal="left" vertical="center" indent="1"/>
    </xf>
    <xf numFmtId="0" fontId="0" fillId="0" borderId="23" xfId="0" applyBorder="1" applyAlignment="1">
      <alignment horizontal="left" vertical="center" indent="1"/>
    </xf>
    <xf numFmtId="0" fontId="0" fillId="2" borderId="18" xfId="0" applyFill="1" applyBorder="1" applyAlignment="1">
      <alignment horizontal="center"/>
    </xf>
    <xf numFmtId="0" fontId="0" fillId="0" borderId="1" xfId="0" applyFont="1" applyBorder="1" applyAlignment="1">
      <alignment horizontal="center"/>
    </xf>
    <xf numFmtId="0" fontId="7" fillId="0" borderId="1" xfId="0" applyFont="1" applyBorder="1" applyAlignment="1">
      <alignment horizontal="center" vertical="center" wrapText="1"/>
    </xf>
    <xf numFmtId="0" fontId="0" fillId="0" borderId="21" xfId="0" applyBorder="1" applyAlignment="1">
      <alignment horizontal="left" vertical="center" indent="1"/>
    </xf>
    <xf numFmtId="49" fontId="0" fillId="0" borderId="23" xfId="0" applyNumberFormat="1" applyBorder="1" applyAlignment="1">
      <alignment horizontal="left" vertical="center" indent="1"/>
    </xf>
    <xf numFmtId="49" fontId="0" fillId="0" borderId="21" xfId="0" applyNumberFormat="1" applyBorder="1" applyAlignment="1">
      <alignment horizontal="left" vertical="center" indent="1"/>
    </xf>
    <xf numFmtId="178" fontId="0" fillId="0" borderId="23" xfId="0" applyNumberFormat="1" applyBorder="1" applyAlignment="1">
      <alignment horizontal="left" vertical="center" indent="1"/>
    </xf>
    <xf numFmtId="178" fontId="0" fillId="0" borderId="21" xfId="0" applyNumberFormat="1" applyBorder="1" applyAlignment="1">
      <alignment horizontal="left" vertical="center" indent="1"/>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34" xfId="0" applyFill="1" applyBorder="1" applyAlignment="1">
      <alignment horizontal="center"/>
    </xf>
    <xf numFmtId="10" fontId="0" fillId="0" borderId="23" xfId="0" applyNumberFormat="1" applyBorder="1" applyAlignment="1">
      <alignment horizontal="left" vertical="center" indent="1"/>
    </xf>
    <xf numFmtId="10" fontId="0" fillId="0" borderId="21" xfId="0" applyNumberFormat="1" applyBorder="1" applyAlignment="1">
      <alignment horizontal="left" vertical="center" indent="1"/>
    </xf>
    <xf numFmtId="0" fontId="1" fillId="27" borderId="8" xfId="0" applyFont="1" applyFill="1" applyBorder="1" applyAlignment="1">
      <alignment horizontal="center"/>
    </xf>
    <xf numFmtId="0" fontId="1" fillId="27" borderId="4" xfId="0" applyFont="1" applyFill="1" applyBorder="1" applyAlignment="1">
      <alignment horizontal="center"/>
    </xf>
    <xf numFmtId="0" fontId="1" fillId="27" borderId="25" xfId="0" applyFont="1" applyFill="1" applyBorder="1" applyAlignment="1">
      <alignment horizontal="center" vertical="center"/>
    </xf>
    <xf numFmtId="0" fontId="1" fillId="27" borderId="2" xfId="0" applyFont="1" applyFill="1" applyBorder="1" applyAlignment="1">
      <alignment horizontal="center" vertical="center"/>
    </xf>
    <xf numFmtId="0" fontId="1" fillId="27" borderId="27" xfId="0" applyFont="1" applyFill="1" applyBorder="1" applyAlignment="1">
      <alignment horizontal="center" vertical="center"/>
    </xf>
    <xf numFmtId="0" fontId="15" fillId="27" borderId="10" xfId="0" applyFont="1" applyFill="1" applyBorder="1" applyAlignment="1">
      <alignment horizontal="center" vertical="center" wrapText="1"/>
    </xf>
    <xf numFmtId="0" fontId="0" fillId="0" borderId="20" xfId="0" applyBorder="1" applyAlignment="1">
      <alignment horizontal="left" vertical="center" indent="1" shrinkToFit="1"/>
    </xf>
    <xf numFmtId="0" fontId="0" fillId="0" borderId="2" xfId="0" applyBorder="1" applyAlignment="1">
      <alignment horizontal="left" vertical="center" indent="1" shrinkToFit="1"/>
    </xf>
    <xf numFmtId="0" fontId="0" fillId="0" borderId="3" xfId="0" applyBorder="1" applyAlignment="1">
      <alignment horizontal="left" vertical="center" indent="1" shrinkToFit="1"/>
    </xf>
    <xf numFmtId="0" fontId="1" fillId="27" borderId="26" xfId="0" applyFont="1" applyFill="1" applyBorder="1" applyAlignment="1">
      <alignment horizontal="left" vertical="center" indent="1"/>
    </xf>
    <xf numFmtId="0" fontId="1" fillId="27" borderId="24" xfId="0" applyFont="1" applyFill="1" applyBorder="1" applyAlignment="1">
      <alignment horizontal="left" vertical="center" indent="1"/>
    </xf>
    <xf numFmtId="0" fontId="1" fillId="27" borderId="28" xfId="0" applyFont="1" applyFill="1" applyBorder="1" applyAlignment="1">
      <alignment horizontal="left" vertical="center" indent="1"/>
    </xf>
    <xf numFmtId="0" fontId="23" fillId="27" borderId="1" xfId="0" applyFont="1" applyFill="1" applyBorder="1" applyAlignment="1">
      <alignment horizontal="center"/>
    </xf>
    <xf numFmtId="0" fontId="23" fillId="27" borderId="2" xfId="0" applyFont="1" applyFill="1" applyBorder="1" applyAlignment="1">
      <alignment horizontal="center"/>
    </xf>
    <xf numFmtId="0" fontId="23" fillId="27" borderId="24" xfId="0" applyFont="1" applyFill="1" applyBorder="1" applyAlignment="1">
      <alignment horizontal="center"/>
    </xf>
    <xf numFmtId="0" fontId="23" fillId="27" borderId="28" xfId="0" applyFont="1" applyFill="1" applyBorder="1" applyAlignment="1">
      <alignment horizontal="center"/>
    </xf>
    <xf numFmtId="0" fontId="26" fillId="29" borderId="10" xfId="0" applyFont="1" applyFill="1" applyBorder="1" applyAlignment="1">
      <alignment horizontal="center"/>
    </xf>
    <xf numFmtId="0" fontId="27" fillId="16" borderId="10" xfId="0" applyFont="1" applyFill="1" applyBorder="1" applyAlignment="1">
      <alignment horizontal="center"/>
    </xf>
    <xf numFmtId="0" fontId="23" fillId="27" borderId="26" xfId="0" applyFont="1" applyFill="1" applyBorder="1" applyAlignment="1">
      <alignment horizontal="center"/>
    </xf>
    <xf numFmtId="0" fontId="23" fillId="27" borderId="27" xfId="0" applyFont="1" applyFill="1" applyBorder="1" applyAlignment="1">
      <alignment horizontal="center"/>
    </xf>
    <xf numFmtId="0" fontId="23" fillId="27" borderId="37" xfId="0" applyFont="1" applyFill="1" applyBorder="1" applyAlignment="1">
      <alignment horizontal="center"/>
    </xf>
    <xf numFmtId="0" fontId="23" fillId="27" borderId="38" xfId="0" applyFont="1" applyFill="1" applyBorder="1" applyAlignment="1">
      <alignment horizontal="center"/>
    </xf>
    <xf numFmtId="0" fontId="26" fillId="30" borderId="1" xfId="0" applyFont="1" applyFill="1" applyBorder="1" applyAlignment="1">
      <alignment horizontal="center"/>
    </xf>
    <xf numFmtId="0" fontId="26" fillId="30" borderId="2" xfId="0" applyFont="1" applyFill="1" applyBorder="1" applyAlignment="1">
      <alignment horizontal="center"/>
    </xf>
    <xf numFmtId="0" fontId="26" fillId="30" borderId="3" xfId="0" applyFont="1" applyFill="1" applyBorder="1" applyAlignment="1">
      <alignment horizontal="center"/>
    </xf>
    <xf numFmtId="0" fontId="15" fillId="27" borderId="1" xfId="0" applyFont="1" applyFill="1" applyBorder="1" applyAlignment="1">
      <alignment horizontal="left" vertical="center" wrapText="1" indent="76"/>
    </xf>
    <xf numFmtId="0" fontId="15" fillId="27" borderId="2" xfId="0" applyFont="1" applyFill="1" applyBorder="1" applyAlignment="1">
      <alignment horizontal="left" vertical="center" wrapText="1" indent="76"/>
    </xf>
    <xf numFmtId="0" fontId="15" fillId="27" borderId="3" xfId="0" applyFont="1" applyFill="1" applyBorder="1" applyAlignment="1">
      <alignment horizontal="left" vertical="center" wrapText="1" indent="76"/>
    </xf>
    <xf numFmtId="0" fontId="16" fillId="2" borderId="1" xfId="0" applyFont="1" applyFill="1" applyBorder="1" applyAlignment="1">
      <alignment horizontal="left" vertical="center" wrapText="1" indent="47"/>
    </xf>
    <xf numFmtId="0" fontId="16" fillId="2" borderId="2" xfId="0" applyFont="1" applyFill="1" applyBorder="1" applyAlignment="1">
      <alignment horizontal="left" vertical="center" wrapText="1" indent="47"/>
    </xf>
    <xf numFmtId="0" fontId="16" fillId="2" borderId="3" xfId="0" applyFont="1" applyFill="1" applyBorder="1" applyAlignment="1">
      <alignment horizontal="left" vertical="center" wrapText="1" indent="47"/>
    </xf>
    <xf numFmtId="0" fontId="15" fillId="27" borderId="1" xfId="0" applyFont="1" applyFill="1" applyBorder="1" applyAlignment="1">
      <alignment horizontal="center" vertical="center" wrapText="1"/>
    </xf>
    <xf numFmtId="0" fontId="15" fillId="27" borderId="2" xfId="0" applyFont="1" applyFill="1" applyBorder="1" applyAlignment="1">
      <alignment horizontal="center" vertical="center" wrapText="1"/>
    </xf>
    <xf numFmtId="0" fontId="15" fillId="27"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0" borderId="11" xfId="0" applyFont="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5" fillId="27" borderId="5" xfId="0" applyFont="1" applyFill="1" applyBorder="1" applyAlignment="1">
      <alignment horizontal="center" vertical="center" wrapText="1"/>
    </xf>
    <xf numFmtId="0" fontId="15" fillId="27" borderId="6" xfId="0" applyFont="1" applyFill="1" applyBorder="1" applyAlignment="1">
      <alignment horizontal="center" vertical="center" wrapText="1"/>
    </xf>
    <xf numFmtId="0" fontId="15" fillId="27" borderId="7" xfId="0" applyFont="1" applyFill="1" applyBorder="1" applyAlignment="1">
      <alignment horizontal="center" vertical="center" wrapText="1"/>
    </xf>
    <xf numFmtId="0" fontId="0" fillId="32" borderId="18" xfId="0" applyFill="1" applyBorder="1" applyAlignment="1">
      <alignment horizontal="center"/>
    </xf>
    <xf numFmtId="0" fontId="0" fillId="32" borderId="6" xfId="0" applyFill="1" applyBorder="1" applyAlignment="1">
      <alignment horizontal="center"/>
    </xf>
    <xf numFmtId="0" fontId="0" fillId="32" borderId="34" xfId="0" applyFill="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32" borderId="1" xfId="0" applyFill="1" applyBorder="1" applyAlignment="1">
      <alignment horizontal="center"/>
    </xf>
    <xf numFmtId="0" fontId="0" fillId="32" borderId="2" xfId="0" applyFill="1" applyBorder="1" applyAlignment="1">
      <alignment horizontal="center"/>
    </xf>
    <xf numFmtId="0" fontId="16" fillId="2" borderId="8"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9" xfId="0" applyFont="1" applyFill="1" applyBorder="1" applyAlignment="1">
      <alignment horizontal="center" vertical="center" wrapText="1"/>
    </xf>
    <xf numFmtId="170" fontId="11" fillId="0" borderId="0" xfId="0" applyNumberFormat="1" applyFont="1" applyAlignment="1">
      <alignment horizontal="left" wrapText="1"/>
    </xf>
    <xf numFmtId="170" fontId="11" fillId="0" borderId="17" xfId="0" applyNumberFormat="1" applyFont="1" applyBorder="1" applyAlignment="1">
      <alignment horizontal="left" wrapText="1"/>
    </xf>
    <xf numFmtId="0" fontId="0" fillId="32" borderId="5" xfId="0" applyFill="1" applyBorder="1" applyAlignment="1">
      <alignment horizontal="center"/>
    </xf>
    <xf numFmtId="0" fontId="0" fillId="32" borderId="7" xfId="0"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176" fontId="0" fillId="2" borderId="1" xfId="0" applyNumberFormat="1" applyFill="1" applyBorder="1" applyAlignment="1">
      <alignment horizontal="center"/>
    </xf>
    <xf numFmtId="176" fontId="0" fillId="2" borderId="2" xfId="0" applyNumberFormat="1" applyFill="1" applyBorder="1" applyAlignment="1">
      <alignment horizontal="center"/>
    </xf>
    <xf numFmtId="175" fontId="0" fillId="2" borderId="1" xfId="0" applyNumberFormat="1" applyFill="1" applyBorder="1" applyAlignment="1">
      <alignment horizontal="center"/>
    </xf>
    <xf numFmtId="175" fontId="0" fillId="2" borderId="2" xfId="0" applyNumberFormat="1" applyFill="1" applyBorder="1" applyAlignment="1">
      <alignment horizont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ill="1" applyBorder="1" applyAlignment="1">
      <alignment horizontal="center" wrapText="1"/>
    </xf>
    <xf numFmtId="0" fontId="0" fillId="33" borderId="6" xfId="0" applyFill="1" applyBorder="1" applyAlignment="1">
      <alignment horizontal="center" wrapText="1"/>
    </xf>
    <xf numFmtId="0" fontId="0" fillId="33" borderId="34" xfId="0" applyFill="1" applyBorder="1" applyAlignment="1">
      <alignment horizontal="center" wrapText="1"/>
    </xf>
    <xf numFmtId="0" fontId="0" fillId="33" borderId="44" xfId="0" applyFill="1" applyBorder="1" applyAlignment="1">
      <alignment horizontal="center"/>
    </xf>
    <xf numFmtId="0" fontId="0" fillId="33" borderId="4" xfId="0" applyFill="1" applyBorder="1" applyAlignment="1">
      <alignment horizontal="center"/>
    </xf>
    <xf numFmtId="0" fontId="0" fillId="33" borderId="36" xfId="0" applyFill="1" applyBorder="1" applyAlignment="1">
      <alignment horizontal="center"/>
    </xf>
    <xf numFmtId="170" fontId="0" fillId="2" borderId="1" xfId="0" applyNumberFormat="1" applyFill="1" applyBorder="1" applyAlignment="1">
      <alignment horizontal="center"/>
    </xf>
    <xf numFmtId="170" fontId="0" fillId="2" borderId="2" xfId="0" applyNumberFormat="1" applyFill="1" applyBorder="1" applyAlignment="1">
      <alignment horizontal="center"/>
    </xf>
    <xf numFmtId="0" fontId="0" fillId="33" borderId="18" xfId="0" applyFill="1" applyBorder="1" applyAlignment="1">
      <alignment horizontal="center"/>
    </xf>
    <xf numFmtId="0" fontId="0" fillId="33" borderId="6" xfId="0" applyFill="1" applyBorder="1" applyAlignment="1">
      <alignment horizontal="center"/>
    </xf>
    <xf numFmtId="0" fontId="0" fillId="33" borderId="34" xfId="0" applyFill="1" applyBorder="1" applyAlignment="1">
      <alignment horizontal="center"/>
    </xf>
    <xf numFmtId="170" fontId="0" fillId="2" borderId="3" xfId="0" applyNumberFormat="1" applyFill="1" applyBorder="1" applyAlignment="1">
      <alignment horizontal="center"/>
    </xf>
    <xf numFmtId="0" fontId="0" fillId="33" borderId="9" xfId="0" applyFill="1" applyBorder="1" applyAlignment="1">
      <alignment horizontal="center"/>
    </xf>
    <xf numFmtId="0" fontId="0" fillId="33" borderId="7" xfId="0" applyFill="1" applyBorder="1" applyAlignment="1">
      <alignment horizontal="center" wrapText="1"/>
    </xf>
    <xf numFmtId="0" fontId="0" fillId="33" borderId="1" xfId="0" applyFill="1" applyBorder="1" applyAlignment="1">
      <alignment horizontal="center" shrinkToFit="1"/>
    </xf>
    <xf numFmtId="0" fontId="0" fillId="33" borderId="22" xfId="0" applyFill="1" applyBorder="1" applyAlignment="1">
      <alignment horizontal="center" shrinkToFit="1"/>
    </xf>
    <xf numFmtId="0" fontId="0" fillId="33" borderId="2" xfId="0" applyFill="1" applyBorder="1" applyAlignment="1">
      <alignment horizontal="center" shrinkToFit="1"/>
    </xf>
    <xf numFmtId="1" fontId="35" fillId="20" borderId="10" xfId="0" applyNumberFormat="1" applyFont="1" applyFill="1" applyBorder="1" applyAlignment="1" applyProtection="1">
      <alignment horizontal="center"/>
    </xf>
    <xf numFmtId="1" fontId="35" fillId="20" borderId="1" xfId="0" applyNumberFormat="1" applyFont="1" applyFill="1" applyBorder="1" applyAlignment="1" applyProtection="1">
      <alignment horizontal="center"/>
    </xf>
    <xf numFmtId="1" fontId="35" fillId="20" borderId="2" xfId="0" applyNumberFormat="1" applyFont="1" applyFill="1" applyBorder="1" applyAlignment="1" applyProtection="1">
      <alignment horizontal="center"/>
    </xf>
    <xf numFmtId="1" fontId="35" fillId="20" borderId="3" xfId="0" applyNumberFormat="1" applyFont="1" applyFill="1" applyBorder="1" applyAlignment="1" applyProtection="1">
      <alignment horizontal="center"/>
    </xf>
    <xf numFmtId="10" fontId="35" fillId="20" borderId="10" xfId="0" applyNumberFormat="1" applyFont="1" applyFill="1" applyBorder="1" applyAlignment="1" applyProtection="1">
      <alignment horizontal="center"/>
    </xf>
    <xf numFmtId="164" fontId="35" fillId="20" borderId="10" xfId="0" applyNumberFormat="1" applyFont="1" applyFill="1" applyBorder="1" applyAlignment="1" applyProtection="1">
      <alignment horizontal="center"/>
    </xf>
    <xf numFmtId="164" fontId="0" fillId="0" borderId="10" xfId="0" quotePrefix="1" applyNumberFormat="1" applyBorder="1" applyAlignment="1">
      <alignment horizontal="center"/>
    </xf>
    <xf numFmtId="165" fontId="35" fillId="20" borderId="1" xfId="0" applyNumberFormat="1" applyFont="1" applyFill="1" applyBorder="1" applyAlignment="1" applyProtection="1">
      <alignment horizontal="center"/>
    </xf>
    <xf numFmtId="165" fontId="35" fillId="20" borderId="2" xfId="0" applyNumberFormat="1" applyFont="1" applyFill="1" applyBorder="1" applyAlignment="1" applyProtection="1">
      <alignment horizontal="center"/>
    </xf>
    <xf numFmtId="165" fontId="35" fillId="20" borderId="3" xfId="0" applyNumberFormat="1" applyFont="1" applyFill="1" applyBorder="1" applyAlignment="1" applyProtection="1">
      <alignment horizontal="center"/>
    </xf>
    <xf numFmtId="165" fontId="0" fillId="0" borderId="10" xfId="0" quotePrefix="1" applyNumberFormat="1" applyBorder="1" applyAlignment="1">
      <alignment horizontal="center"/>
    </xf>
    <xf numFmtId="0" fontId="36" fillId="14" borderId="10" xfId="0" applyFont="1" applyFill="1" applyBorder="1" applyAlignment="1">
      <alignment horizontal="center" vertical="center" wrapText="1"/>
    </xf>
    <xf numFmtId="8" fontId="35" fillId="20" borderId="10" xfId="0" applyNumberFormat="1" applyFont="1" applyFill="1" applyBorder="1" applyAlignment="1" applyProtection="1">
      <alignment horizontal="center"/>
    </xf>
    <xf numFmtId="8" fontId="0" fillId="2" borderId="10" xfId="0" applyNumberFormat="1" applyFill="1" applyBorder="1" applyAlignment="1">
      <alignment horizontal="center"/>
    </xf>
    <xf numFmtId="0" fontId="35" fillId="20" borderId="10" xfId="0" applyNumberFormat="1" applyFont="1" applyFill="1" applyBorder="1" applyAlignment="1" applyProtection="1">
      <alignment horizontal="center"/>
    </xf>
    <xf numFmtId="174" fontId="0" fillId="0" borderId="12" xfId="0" applyNumberFormat="1" applyBorder="1" applyAlignment="1">
      <alignment horizontal="center"/>
    </xf>
    <xf numFmtId="174" fontId="0" fillId="0" borderId="15" xfId="0" applyNumberFormat="1" applyBorder="1" applyAlignment="1">
      <alignment horizontal="center"/>
    </xf>
    <xf numFmtId="0" fontId="35" fillId="20" borderId="16" xfId="0" applyFont="1" applyFill="1" applyBorder="1" applyAlignment="1" applyProtection="1">
      <alignment horizontal="center"/>
    </xf>
    <xf numFmtId="174" fontId="59" fillId="20" borderId="16" xfId="0" applyNumberFormat="1" applyFont="1" applyFill="1" applyBorder="1" applyAlignment="1" applyProtection="1">
      <alignment horizontal="center"/>
    </xf>
    <xf numFmtId="174" fontId="0" fillId="0" borderId="16" xfId="0" applyNumberFormat="1" applyBorder="1" applyAlignment="1">
      <alignment horizontal="center"/>
    </xf>
    <xf numFmtId="0" fontId="35" fillId="20" borderId="10" xfId="0" applyFont="1" applyFill="1" applyBorder="1" applyAlignment="1" applyProtection="1">
      <alignment horizontal="center"/>
    </xf>
    <xf numFmtId="174" fontId="59" fillId="20" borderId="10" xfId="0" applyNumberFormat="1" applyFont="1" applyFill="1" applyBorder="1" applyAlignment="1" applyProtection="1">
      <alignment horizontal="center"/>
    </xf>
    <xf numFmtId="174" fontId="0" fillId="0" borderId="10" xfId="0" applyNumberFormat="1" applyBorder="1" applyAlignment="1">
      <alignment horizontal="center"/>
    </xf>
    <xf numFmtId="0" fontId="35" fillId="20" borderId="1" xfId="0" applyFont="1" applyFill="1" applyBorder="1" applyAlignment="1" applyProtection="1">
      <alignment horizontal="center"/>
    </xf>
    <xf numFmtId="0" fontId="35" fillId="20" borderId="2" xfId="0" applyFont="1" applyFill="1" applyBorder="1" applyAlignment="1" applyProtection="1">
      <alignment horizontal="center"/>
    </xf>
    <xf numFmtId="0" fontId="35" fillId="20" borderId="3" xfId="0" applyFont="1" applyFill="1" applyBorder="1" applyAlignment="1" applyProtection="1">
      <alignment horizontal="center"/>
    </xf>
    <xf numFmtId="167" fontId="13" fillId="2" borderId="10" xfId="0" applyNumberFormat="1" applyFont="1" applyFill="1" applyBorder="1" applyAlignment="1">
      <alignment horizontal="center"/>
    </xf>
    <xf numFmtId="8" fontId="0" fillId="0" borderId="10" xfId="0" applyNumberFormat="1" applyBorder="1" applyAlignment="1">
      <alignment horizontal="center"/>
    </xf>
    <xf numFmtId="8" fontId="35" fillId="20" borderId="1" xfId="0" applyNumberFormat="1" applyFont="1" applyFill="1" applyBorder="1" applyAlignment="1" applyProtection="1">
      <alignment horizontal="center"/>
    </xf>
    <xf numFmtId="8" fontId="35" fillId="20" borderId="3" xfId="0" applyNumberFormat="1" applyFont="1" applyFill="1" applyBorder="1" applyAlignment="1" applyProtection="1">
      <alignment horizontal="center"/>
    </xf>
    <xf numFmtId="166" fontId="35" fillId="20" borderId="10" xfId="0" applyNumberFormat="1" applyFont="1" applyFill="1" applyBorder="1" applyAlignment="1" applyProtection="1">
      <alignment horizontal="center"/>
    </xf>
    <xf numFmtId="0" fontId="35" fillId="20" borderId="1" xfId="0" applyNumberFormat="1" applyFont="1" applyFill="1" applyBorder="1" applyAlignment="1" applyProtection="1">
      <alignment horizontal="center"/>
    </xf>
    <xf numFmtId="0" fontId="35" fillId="20" borderId="2" xfId="0" applyNumberFormat="1" applyFont="1" applyFill="1" applyBorder="1" applyAlignment="1" applyProtection="1">
      <alignment horizontal="center"/>
    </xf>
    <xf numFmtId="0" fontId="35" fillId="20" borderId="3" xfId="0" applyNumberFormat="1" applyFont="1" applyFill="1" applyBorder="1" applyAlignment="1" applyProtection="1">
      <alignment horizontal="center"/>
    </xf>
    <xf numFmtId="165" fontId="13" fillId="0" borderId="1" xfId="0" applyNumberFormat="1" applyFont="1" applyFill="1" applyBorder="1" applyAlignment="1">
      <alignment horizontal="center"/>
    </xf>
    <xf numFmtId="165" fontId="13" fillId="0" borderId="3" xfId="0" applyNumberFormat="1" applyFont="1" applyFill="1" applyBorder="1" applyAlignment="1">
      <alignment horizontal="center"/>
    </xf>
  </cellXfs>
  <cellStyles count="5">
    <cellStyle name="Currency 2" xfId="3" xr:uid="{00000000-0005-0000-0000-000000000000}"/>
    <cellStyle name="Hyperlink" xfId="1" builtinId="8"/>
    <cellStyle name="Hyperlink 2" xfId="4" xr:uid="{00000000-0005-0000-0000-000002000000}"/>
    <cellStyle name="Normal" xfId="0" builtinId="0"/>
    <cellStyle name="Normal 2" xfId="2" xr:uid="{00000000-0005-0000-0000-000004000000}"/>
  </cellStyles>
  <dxfs count="99">
    <dxf>
      <font>
        <b/>
        <i val="0"/>
        <color rgb="FFFFFF00"/>
      </font>
      <fill>
        <patternFill>
          <bgColor rgb="FFFF0000"/>
        </patternFill>
      </fill>
    </dxf>
    <dxf>
      <border>
        <bottom style="thin">
          <color auto="1"/>
        </bottom>
        <vertical/>
        <horizontal/>
      </border>
    </dxf>
    <dxf>
      <border>
        <bottom style="thin">
          <color auto="1"/>
        </bottom>
        <vertical/>
        <horizontal/>
      </border>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color rgb="FFFFFF00"/>
      </font>
      <fill>
        <patternFill>
          <bgColor rgb="FFC00000"/>
        </patternFill>
      </fill>
      <border>
        <left style="thin">
          <color auto="1"/>
        </left>
        <right style="thin">
          <color auto="1"/>
        </right>
        <top style="thin">
          <color auto="1"/>
        </top>
        <bottom style="thin">
          <color auto="1"/>
        </bottom>
      </border>
    </dxf>
    <dxf>
      <font>
        <color rgb="FFFFFF00"/>
      </font>
      <fill>
        <patternFill>
          <bgColor rgb="FFC00000"/>
        </patternFill>
      </fill>
      <border>
        <left style="thin">
          <color auto="1"/>
        </left>
        <right style="thin">
          <color auto="1"/>
        </right>
        <top style="thin">
          <color auto="1"/>
        </top>
        <bottom style="thin">
          <color auto="1"/>
        </bottom>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b val="0"/>
        <i/>
        <strike/>
        <color theme="0" tint="-0.499984740745262"/>
      </font>
    </dxf>
    <dxf>
      <font>
        <b val="0"/>
        <i val="0"/>
        <strike val="0"/>
        <color theme="1"/>
      </font>
    </dxf>
    <dxf>
      <font>
        <b val="0"/>
        <i/>
        <strike/>
        <color theme="0" tint="-0.499984740745262"/>
      </font>
    </dxf>
    <dxf>
      <font>
        <b val="0"/>
        <i val="0"/>
        <strike val="0"/>
        <color auto="1"/>
      </font>
    </dxf>
    <dxf>
      <font>
        <b val="0"/>
        <i/>
        <strike/>
        <color theme="0" tint="-0.499984740745262"/>
      </font>
    </dxf>
    <dxf>
      <font>
        <b val="0"/>
        <i val="0"/>
        <strike val="0"/>
        <color theme="1"/>
      </font>
    </dxf>
    <dxf>
      <font>
        <b val="0"/>
        <i/>
        <strike/>
        <color theme="0" tint="-0.499984740745262"/>
      </font>
    </dxf>
    <dxf>
      <font>
        <b val="0"/>
        <i val="0"/>
        <strike val="0"/>
        <color theme="1"/>
      </font>
    </dxf>
    <dxf>
      <font>
        <b val="0"/>
        <i/>
        <strike/>
        <color theme="0" tint="-0.499984740745262"/>
      </font>
    </dxf>
    <dxf>
      <font>
        <b/>
        <i val="0"/>
        <strike val="0"/>
        <color rgb="FFFF0000"/>
      </font>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
      <font>
        <color rgb="FFFFFF00"/>
      </font>
      <fill>
        <patternFill>
          <bgColor rgb="FFC00000"/>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1428730</xdr:colOff>
      <xdr:row>4</xdr:row>
      <xdr:rowOff>0</xdr:rowOff>
    </xdr:from>
    <xdr:to>
      <xdr:col>4</xdr:col>
      <xdr:colOff>415923</xdr:colOff>
      <xdr:row>8</xdr:row>
      <xdr:rowOff>133728</xdr:rowOff>
    </xdr:to>
    <xdr:pic>
      <xdr:nvPicPr>
        <xdr:cNvPr id="4" name="il_fi" descr="http://penndot.engrprograms.com/home/images/2008PennDOTLogoColor.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13" y="1153583"/>
          <a:ext cx="3439602" cy="895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1746221</xdr:colOff>
      <xdr:row>4</xdr:row>
      <xdr:rowOff>21167</xdr:rowOff>
    </xdr:from>
    <xdr:to>
      <xdr:col>6</xdr:col>
      <xdr:colOff>632056</xdr:colOff>
      <xdr:row>6</xdr:row>
      <xdr:rowOff>158751</xdr:rowOff>
    </xdr:to>
    <xdr:pic>
      <xdr:nvPicPr>
        <xdr:cNvPr id="2" name="il_fi" descr="http://penndot.engrprograms.com/home/images/2008PennDOTLogoColor.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21" y="1174750"/>
          <a:ext cx="1997335" cy="518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bls.gov/news.release/ecec.t01.htm" TargetMode="External"/><Relationship Id="rId3" Type="http://schemas.openxmlformats.org/officeDocument/2006/relationships/hyperlink" Target="http://www.bls.gov/news.release/ecec.t10.htm" TargetMode="External"/><Relationship Id="rId7" Type="http://schemas.openxmlformats.org/officeDocument/2006/relationships/hyperlink" Target="https://www.bls.gov/news.release/cpi.t01.htm" TargetMode="External"/><Relationship Id="rId12" Type="http://schemas.openxmlformats.org/officeDocument/2006/relationships/printerSettings" Target="../printerSettings/printerSettings13.bin"/><Relationship Id="rId2" Type="http://schemas.openxmlformats.org/officeDocument/2006/relationships/hyperlink" Target="http://www.bls.gov/oes/current/oes_pa.htm" TargetMode="External"/><Relationship Id="rId1" Type="http://schemas.openxmlformats.org/officeDocument/2006/relationships/hyperlink" Target="https://www.census.gov/quickfacts/pa" TargetMode="External"/><Relationship Id="rId6" Type="http://schemas.openxmlformats.org/officeDocument/2006/relationships/hyperlink" Target="http://www.aaa.com/" TargetMode="External"/><Relationship Id="rId11" Type="http://schemas.openxmlformats.org/officeDocument/2006/relationships/hyperlink" Target="http://gasprices.aaa.com/?state=PA" TargetMode="External"/><Relationship Id="rId5" Type="http://schemas.openxmlformats.org/officeDocument/2006/relationships/hyperlink" Target="https://truckingresearch.org/" TargetMode="External"/><Relationship Id="rId10" Type="http://schemas.openxmlformats.org/officeDocument/2006/relationships/hyperlink" Target="http://www.bls.gov/web/ppi/ppitable06.pdf" TargetMode="External"/><Relationship Id="rId4" Type="http://schemas.openxmlformats.org/officeDocument/2006/relationships/hyperlink" Target="http://www.federalreserve.gov/releases/h15/update/" TargetMode="External"/><Relationship Id="rId9" Type="http://schemas.openxmlformats.org/officeDocument/2006/relationships/hyperlink" Target="http://www.bea.gov/iTable/index_nipa.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ops.fhwa.dot.gov/freight_analysis/faf/faf2_reports/reports7/index.htm" TargetMode="External"/><Relationship Id="rId13" Type="http://schemas.openxmlformats.org/officeDocument/2006/relationships/printerSettings" Target="../printerSettings/printerSettings7.bin"/><Relationship Id="rId3" Type="http://schemas.openxmlformats.org/officeDocument/2006/relationships/hyperlink" Target="https://www.census.gov/quickfacts/fact/table/pa/PST045217" TargetMode="External"/><Relationship Id="rId7" Type="http://schemas.openxmlformats.org/officeDocument/2006/relationships/hyperlink" Target="http://www.federalreserve.gov/releases/h15/" TargetMode="External"/><Relationship Id="rId12" Type="http://schemas.openxmlformats.org/officeDocument/2006/relationships/hyperlink" Target="http://www.bls.gov/news.release/ecec.t10.htm" TargetMode="External"/><Relationship Id="rId2" Type="http://schemas.openxmlformats.org/officeDocument/2006/relationships/hyperlink" Target="http://www.bls.gov/oes/current/oes_pa.htm" TargetMode="External"/><Relationship Id="rId1" Type="http://schemas.openxmlformats.org/officeDocument/2006/relationships/hyperlink" Target="http://www.bls.gov/news.release/ecec.t01.htm" TargetMode="External"/><Relationship Id="rId6" Type="http://schemas.openxmlformats.org/officeDocument/2006/relationships/hyperlink" Target="http://ops.fhwa.dot.gov/wz/resources/publications/fhwahop12005/fhwahop12005.pdf" TargetMode="External"/><Relationship Id="rId11" Type="http://schemas.openxmlformats.org/officeDocument/2006/relationships/hyperlink" Target="https://www.bls.gov/news.release/ppi.t06.htm" TargetMode="External"/><Relationship Id="rId5" Type="http://schemas.openxmlformats.org/officeDocument/2006/relationships/hyperlink" Target="http://atri-online.org/wp-content/uploads/2017/10/ATRI-Operational-Costs-of-Trucking-2017-10-2017.pdf" TargetMode="External"/><Relationship Id="rId10" Type="http://schemas.openxmlformats.org/officeDocument/2006/relationships/hyperlink" Target="http://www.bea.gov/iTable/index_nipa.cfm" TargetMode="External"/><Relationship Id="rId4" Type="http://schemas.openxmlformats.org/officeDocument/2006/relationships/hyperlink" Target="http://exchange.aaa.com/wp-content/uploads/2017/08/17-0013_Your-Driving-Costs-Brochure-2017-FNL-CX-1.pdf" TargetMode="External"/><Relationship Id="rId9" Type="http://schemas.openxmlformats.org/officeDocument/2006/relationships/hyperlink" Target="ftp://ftp.bls.gov/pub/special.requests/cpi/cpiai.tx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P93"/>
  <sheetViews>
    <sheetView showGridLines="0" zoomScaleNormal="100" workbookViewId="0"/>
  </sheetViews>
  <sheetFormatPr defaultRowHeight="15" x14ac:dyDescent="0.25"/>
  <cols>
    <col min="2" max="2" width="7.5703125" customWidth="1"/>
    <col min="3" max="3" width="19.140625" customWidth="1"/>
    <col min="4" max="4" width="6" customWidth="1"/>
  </cols>
  <sheetData>
    <row r="2" spans="2:15" ht="36" x14ac:dyDescent="0.55000000000000004">
      <c r="B2" s="602" t="s">
        <v>393</v>
      </c>
      <c r="C2" s="602"/>
      <c r="D2" s="602"/>
      <c r="E2" s="602"/>
      <c r="F2" s="602"/>
      <c r="G2" s="602"/>
      <c r="H2" s="602"/>
      <c r="I2" s="602"/>
      <c r="J2" s="602"/>
      <c r="K2" s="602"/>
      <c r="L2" s="602"/>
      <c r="M2" s="602"/>
      <c r="N2" s="602"/>
      <c r="O2" s="602"/>
    </row>
    <row r="3" spans="2:15" ht="27.75" customHeight="1" x14ac:dyDescent="0.25">
      <c r="B3" s="601" t="s">
        <v>1148</v>
      </c>
      <c r="C3" s="601"/>
      <c r="D3" s="601"/>
      <c r="E3" s="601"/>
      <c r="F3" s="601"/>
      <c r="G3" s="601"/>
      <c r="H3" s="601"/>
      <c r="I3" s="601"/>
      <c r="J3" s="601"/>
      <c r="K3" s="601"/>
      <c r="L3" s="601"/>
      <c r="M3" s="601"/>
      <c r="N3" s="601"/>
      <c r="O3" s="601"/>
    </row>
    <row r="5" spans="2:15" s="35" customFormat="1" ht="21" x14ac:dyDescent="0.35">
      <c r="B5" s="43" t="s">
        <v>1160</v>
      </c>
    </row>
    <row r="6" spans="2:15" s="35" customFormat="1" x14ac:dyDescent="0.25"/>
    <row r="7" spans="2:15" s="35" customFormat="1" x14ac:dyDescent="0.25">
      <c r="B7" s="35" t="s">
        <v>1163</v>
      </c>
    </row>
    <row r="8" spans="2:15" s="35" customFormat="1" x14ac:dyDescent="0.25">
      <c r="B8" s="35" t="s">
        <v>1170</v>
      </c>
    </row>
    <row r="9" spans="2:15" s="35" customFormat="1" x14ac:dyDescent="0.25"/>
    <row r="10" spans="2:15" s="35" customFormat="1" ht="15.75" x14ac:dyDescent="0.25">
      <c r="B10" s="551" t="s">
        <v>1191</v>
      </c>
      <c r="D10" s="592" t="s">
        <v>1277</v>
      </c>
      <c r="E10" s="27" t="s">
        <v>1278</v>
      </c>
    </row>
    <row r="11" spans="2:15" s="35" customFormat="1" x14ac:dyDescent="0.25"/>
    <row r="12" spans="2:15" ht="21" x14ac:dyDescent="0.35">
      <c r="B12" s="43" t="s">
        <v>380</v>
      </c>
    </row>
    <row r="13" spans="2:15" s="35" customFormat="1" x14ac:dyDescent="0.25">
      <c r="B13"/>
      <c r="C13"/>
      <c r="D13"/>
      <c r="E13"/>
      <c r="F13"/>
      <c r="G13"/>
      <c r="H13"/>
      <c r="I13"/>
      <c r="J13"/>
      <c r="K13"/>
    </row>
    <row r="14" spans="2:15" s="35" customFormat="1" x14ac:dyDescent="0.25">
      <c r="C14" s="27" t="s">
        <v>1149</v>
      </c>
    </row>
    <row r="15" spans="2:15" s="35" customFormat="1" x14ac:dyDescent="0.25">
      <c r="B15"/>
      <c r="C15" s="493" t="s">
        <v>381</v>
      </c>
      <c r="D15" s="218" t="s">
        <v>915</v>
      </c>
      <c r="E15"/>
      <c r="F15"/>
      <c r="G15"/>
      <c r="H15"/>
      <c r="I15"/>
      <c r="J15"/>
      <c r="K15"/>
    </row>
    <row r="16" spans="2:15" s="35" customFormat="1" x14ac:dyDescent="0.25">
      <c r="D16" s="218"/>
    </row>
    <row r="17" spans="1:11" s="35" customFormat="1" x14ac:dyDescent="0.25">
      <c r="C17" s="27" t="s">
        <v>892</v>
      </c>
      <c r="D17" s="218"/>
    </row>
    <row r="18" spans="1:11" s="35" customFormat="1" x14ac:dyDescent="0.25">
      <c r="A18" s="603" t="s">
        <v>1188</v>
      </c>
      <c r="B18" s="604"/>
      <c r="C18" s="491" t="s">
        <v>382</v>
      </c>
      <c r="D18" s="218" t="s">
        <v>916</v>
      </c>
      <c r="E18"/>
      <c r="F18"/>
      <c r="G18"/>
      <c r="H18"/>
      <c r="I18"/>
      <c r="J18"/>
      <c r="K18"/>
    </row>
    <row r="19" spans="1:11" s="35" customFormat="1" x14ac:dyDescent="0.25">
      <c r="A19" s="603"/>
      <c r="B19" s="604"/>
      <c r="C19" s="494" t="s">
        <v>383</v>
      </c>
      <c r="D19" s="218" t="s">
        <v>917</v>
      </c>
      <c r="E19"/>
      <c r="F19"/>
      <c r="G19"/>
      <c r="H19"/>
      <c r="I19"/>
      <c r="J19"/>
      <c r="K19"/>
    </row>
    <row r="20" spans="1:11" s="35" customFormat="1" x14ac:dyDescent="0.25">
      <c r="A20" s="603"/>
      <c r="B20" s="604"/>
      <c r="C20" s="499" t="s">
        <v>1106</v>
      </c>
      <c r="D20" s="218" t="s">
        <v>1171</v>
      </c>
    </row>
    <row r="21" spans="1:11" s="35" customFormat="1" x14ac:dyDescent="0.25">
      <c r="A21" s="603"/>
      <c r="B21" s="604"/>
      <c r="C21" s="495" t="s">
        <v>384</v>
      </c>
      <c r="D21" s="218" t="s">
        <v>1172</v>
      </c>
      <c r="E21"/>
      <c r="F21"/>
      <c r="G21"/>
      <c r="H21"/>
      <c r="I21"/>
      <c r="J21"/>
      <c r="K21"/>
    </row>
    <row r="22" spans="1:11" s="35" customFormat="1" x14ac:dyDescent="0.25">
      <c r="D22" s="218"/>
    </row>
    <row r="23" spans="1:11" s="35" customFormat="1" x14ac:dyDescent="0.25">
      <c r="C23" s="27" t="s">
        <v>893</v>
      </c>
      <c r="D23" s="218"/>
    </row>
    <row r="24" spans="1:11" s="35" customFormat="1" x14ac:dyDescent="0.25">
      <c r="B24"/>
      <c r="C24" s="496" t="s">
        <v>385</v>
      </c>
      <c r="D24" s="218" t="s">
        <v>918</v>
      </c>
      <c r="E24"/>
      <c r="F24"/>
      <c r="G24"/>
      <c r="H24"/>
      <c r="I24"/>
      <c r="J24"/>
      <c r="K24"/>
    </row>
    <row r="25" spans="1:11" s="35" customFormat="1" x14ac:dyDescent="0.25">
      <c r="B25"/>
      <c r="C25" s="496" t="s">
        <v>386</v>
      </c>
      <c r="D25" s="218" t="s">
        <v>919</v>
      </c>
      <c r="E25"/>
      <c r="F25"/>
      <c r="G25"/>
      <c r="H25"/>
      <c r="I25"/>
      <c r="J25"/>
      <c r="K25"/>
    </row>
    <row r="26" spans="1:11" s="35" customFormat="1" x14ac:dyDescent="0.25">
      <c r="B26"/>
      <c r="C26" s="496" t="s">
        <v>387</v>
      </c>
      <c r="D26" s="218" t="s">
        <v>920</v>
      </c>
      <c r="E26"/>
      <c r="F26"/>
      <c r="G26"/>
      <c r="H26"/>
      <c r="I26"/>
      <c r="J26"/>
      <c r="K26"/>
    </row>
    <row r="27" spans="1:11" s="35" customFormat="1" x14ac:dyDescent="0.25">
      <c r="D27" s="218"/>
    </row>
    <row r="28" spans="1:11" s="35" customFormat="1" x14ac:dyDescent="0.25">
      <c r="C28" s="27" t="s">
        <v>894</v>
      </c>
      <c r="D28" s="218"/>
    </row>
    <row r="29" spans="1:11" s="35" customFormat="1" x14ac:dyDescent="0.25">
      <c r="B29"/>
      <c r="C29" s="497" t="s">
        <v>388</v>
      </c>
      <c r="D29" s="218" t="s">
        <v>921</v>
      </c>
      <c r="E29"/>
      <c r="F29"/>
      <c r="G29"/>
      <c r="H29"/>
      <c r="I29"/>
      <c r="J29"/>
      <c r="K29"/>
    </row>
    <row r="30" spans="1:11" s="35" customFormat="1" x14ac:dyDescent="0.25">
      <c r="C30" s="497" t="s">
        <v>895</v>
      </c>
      <c r="D30" s="218" t="s">
        <v>922</v>
      </c>
    </row>
    <row r="31" spans="1:11" s="35" customFormat="1" x14ac:dyDescent="0.25">
      <c r="C31" s="497" t="s">
        <v>827</v>
      </c>
      <c r="D31" s="218" t="s">
        <v>923</v>
      </c>
    </row>
    <row r="32" spans="1:11" s="35" customFormat="1" x14ac:dyDescent="0.25">
      <c r="B32"/>
      <c r="C32" s="497" t="s">
        <v>390</v>
      </c>
      <c r="D32" s="218" t="s">
        <v>924</v>
      </c>
      <c r="E32"/>
      <c r="F32"/>
      <c r="G32"/>
      <c r="H32"/>
      <c r="I32"/>
      <c r="J32"/>
      <c r="K32"/>
    </row>
    <row r="33" spans="2:11" s="35" customFormat="1" x14ac:dyDescent="0.25">
      <c r="B33"/>
      <c r="C33" s="497" t="s">
        <v>391</v>
      </c>
      <c r="D33" s="218" t="s">
        <v>925</v>
      </c>
      <c r="E33"/>
      <c r="F33"/>
      <c r="G33"/>
      <c r="H33"/>
      <c r="I33"/>
      <c r="J33"/>
      <c r="K33"/>
    </row>
    <row r="34" spans="2:11" s="35" customFormat="1" x14ac:dyDescent="0.25">
      <c r="B34"/>
      <c r="C34" s="497" t="s">
        <v>389</v>
      </c>
      <c r="D34" s="218" t="s">
        <v>926</v>
      </c>
      <c r="E34"/>
      <c r="F34"/>
      <c r="G34"/>
      <c r="H34"/>
      <c r="I34"/>
      <c r="J34"/>
      <c r="K34"/>
    </row>
    <row r="35" spans="2:11" s="35" customFormat="1" x14ac:dyDescent="0.25">
      <c r="D35" s="218"/>
    </row>
    <row r="36" spans="2:11" s="35" customFormat="1" x14ac:dyDescent="0.25">
      <c r="C36" s="27" t="s">
        <v>1150</v>
      </c>
      <c r="D36" s="218"/>
    </row>
    <row r="37" spans="2:11" s="35" customFormat="1" x14ac:dyDescent="0.25">
      <c r="B37"/>
      <c r="C37" s="498" t="s">
        <v>392</v>
      </c>
      <c r="D37" s="218" t="s">
        <v>927</v>
      </c>
      <c r="E37"/>
      <c r="F37"/>
      <c r="G37"/>
      <c r="H37"/>
      <c r="I37"/>
      <c r="J37"/>
      <c r="K37"/>
    </row>
    <row r="38" spans="2:11" s="35" customFormat="1" x14ac:dyDescent="0.25"/>
    <row r="39" spans="2:11" s="35" customFormat="1" x14ac:dyDescent="0.25"/>
    <row r="40" spans="2:11" s="35" customFormat="1" ht="21" x14ac:dyDescent="0.35">
      <c r="B40" s="43" t="s">
        <v>393</v>
      </c>
    </row>
    <row r="41" spans="2:11" s="35" customFormat="1" x14ac:dyDescent="0.25"/>
    <row r="42" spans="2:11" s="35" customFormat="1" x14ac:dyDescent="0.25">
      <c r="C42" s="27" t="s">
        <v>1185</v>
      </c>
    </row>
    <row r="43" spans="2:11" s="35" customFormat="1" x14ac:dyDescent="0.25"/>
    <row r="44" spans="2:11" s="35" customFormat="1" x14ac:dyDescent="0.25">
      <c r="C44" s="393" t="s">
        <v>1175</v>
      </c>
    </row>
    <row r="45" spans="2:11" s="35" customFormat="1" x14ac:dyDescent="0.25">
      <c r="C45" s="35" t="s">
        <v>1176</v>
      </c>
    </row>
    <row r="46" spans="2:11" s="35" customFormat="1" x14ac:dyDescent="0.25">
      <c r="C46" s="35" t="s">
        <v>1173</v>
      </c>
    </row>
    <row r="47" spans="2:11" s="35" customFormat="1" x14ac:dyDescent="0.25">
      <c r="C47" s="35" t="s">
        <v>1174</v>
      </c>
    </row>
    <row r="48" spans="2:11" s="35" customFormat="1" x14ac:dyDescent="0.25"/>
    <row r="49" spans="3:16" s="35" customFormat="1" x14ac:dyDescent="0.25">
      <c r="C49" s="393" t="s">
        <v>910</v>
      </c>
    </row>
    <row r="50" spans="3:16" s="35" customFormat="1" x14ac:dyDescent="0.25">
      <c r="C50" s="391" t="s">
        <v>1272</v>
      </c>
    </row>
    <row r="51" spans="3:16" s="35" customFormat="1" x14ac:dyDescent="0.25">
      <c r="C51" s="391" t="s">
        <v>1273</v>
      </c>
    </row>
    <row r="52" spans="3:16" s="35" customFormat="1" x14ac:dyDescent="0.25">
      <c r="C52" s="391" t="s">
        <v>896</v>
      </c>
    </row>
    <row r="53" spans="3:16" s="35" customFormat="1" x14ac:dyDescent="0.25"/>
    <row r="54" spans="3:16" s="35" customFormat="1" x14ac:dyDescent="0.25">
      <c r="C54" s="392" t="s">
        <v>897</v>
      </c>
    </row>
    <row r="55" spans="3:16" x14ac:dyDescent="0.25">
      <c r="C55" s="398" t="s">
        <v>346</v>
      </c>
      <c r="D55" s="391" t="s">
        <v>928</v>
      </c>
      <c r="M55" s="35"/>
      <c r="N55" s="35"/>
      <c r="O55" s="35"/>
      <c r="P55" s="35"/>
    </row>
    <row r="56" spans="3:16" x14ac:dyDescent="0.25">
      <c r="C56" s="399" t="s">
        <v>347</v>
      </c>
      <c r="D56" s="391" t="s">
        <v>929</v>
      </c>
      <c r="M56" s="35"/>
      <c r="N56" s="35"/>
      <c r="O56" s="35"/>
      <c r="P56" s="35"/>
    </row>
    <row r="57" spans="3:16" x14ac:dyDescent="0.25">
      <c r="C57" s="397" t="s">
        <v>348</v>
      </c>
      <c r="D57" s="391" t="s">
        <v>930</v>
      </c>
      <c r="M57" s="35"/>
      <c r="N57" s="35"/>
      <c r="O57" s="35"/>
      <c r="P57" s="35"/>
    </row>
    <row r="58" spans="3:16" x14ac:dyDescent="0.25">
      <c r="C58" s="410" t="s">
        <v>355</v>
      </c>
      <c r="D58" s="391" t="s">
        <v>931</v>
      </c>
      <c r="M58" s="35"/>
      <c r="N58" s="35"/>
      <c r="O58" s="35"/>
      <c r="P58" s="35"/>
    </row>
    <row r="59" spans="3:16" s="35" customFormat="1" x14ac:dyDescent="0.25">
      <c r="C59" s="411" t="s">
        <v>354</v>
      </c>
      <c r="D59" s="391" t="s">
        <v>932</v>
      </c>
    </row>
    <row r="60" spans="3:16" x14ac:dyDescent="0.25">
      <c r="C60" s="400" t="s">
        <v>349</v>
      </c>
      <c r="D60" s="391" t="s">
        <v>933</v>
      </c>
    </row>
    <row r="61" spans="3:16" x14ac:dyDescent="0.25">
      <c r="C61" s="412" t="s">
        <v>353</v>
      </c>
      <c r="D61" s="391" t="s">
        <v>934</v>
      </c>
    </row>
    <row r="62" spans="3:16" x14ac:dyDescent="0.25">
      <c r="C62" s="413" t="s">
        <v>362</v>
      </c>
      <c r="D62" s="391" t="s">
        <v>935</v>
      </c>
    </row>
    <row r="63" spans="3:16" s="35" customFormat="1" x14ac:dyDescent="0.25"/>
    <row r="64" spans="3:16" x14ac:dyDescent="0.25">
      <c r="C64" s="393" t="s">
        <v>898</v>
      </c>
    </row>
    <row r="65" spans="3:3" x14ac:dyDescent="0.25">
      <c r="C65" s="391" t="s">
        <v>899</v>
      </c>
    </row>
    <row r="66" spans="3:3" x14ac:dyDescent="0.25">
      <c r="C66" s="394" t="s">
        <v>1177</v>
      </c>
    </row>
    <row r="67" spans="3:3" s="35" customFormat="1" x14ac:dyDescent="0.25">
      <c r="C67" s="394" t="s">
        <v>1178</v>
      </c>
    </row>
    <row r="68" spans="3:3" x14ac:dyDescent="0.25">
      <c r="C68" s="391" t="s">
        <v>1179</v>
      </c>
    </row>
    <row r="69" spans="3:3" s="35" customFormat="1" x14ac:dyDescent="0.25">
      <c r="C69" s="391" t="s">
        <v>900</v>
      </c>
    </row>
    <row r="71" spans="3:3" x14ac:dyDescent="0.25">
      <c r="C71" s="391" t="s">
        <v>901</v>
      </c>
    </row>
    <row r="72" spans="3:3" x14ac:dyDescent="0.25">
      <c r="C72" s="394" t="s">
        <v>1180</v>
      </c>
    </row>
    <row r="73" spans="3:3" s="35" customFormat="1" x14ac:dyDescent="0.25">
      <c r="C73" s="394" t="s">
        <v>1181</v>
      </c>
    </row>
    <row r="74" spans="3:3" x14ac:dyDescent="0.25">
      <c r="C74" s="395" t="s">
        <v>914</v>
      </c>
    </row>
    <row r="75" spans="3:3" x14ac:dyDescent="0.25">
      <c r="C75" s="391" t="s">
        <v>902</v>
      </c>
    </row>
    <row r="76" spans="3:3" x14ac:dyDescent="0.25">
      <c r="C76" s="391" t="s">
        <v>903</v>
      </c>
    </row>
    <row r="78" spans="3:3" x14ac:dyDescent="0.25">
      <c r="C78" s="391" t="s">
        <v>913</v>
      </c>
    </row>
    <row r="80" spans="3:3" x14ac:dyDescent="0.25">
      <c r="C80" s="393" t="s">
        <v>383</v>
      </c>
    </row>
    <row r="81" spans="3:3" x14ac:dyDescent="0.25">
      <c r="C81" s="391" t="s">
        <v>912</v>
      </c>
    </row>
    <row r="83" spans="3:3" x14ac:dyDescent="0.25">
      <c r="C83" s="393" t="s">
        <v>1182</v>
      </c>
    </row>
    <row r="84" spans="3:3" x14ac:dyDescent="0.25">
      <c r="C84" s="391" t="s">
        <v>1184</v>
      </c>
    </row>
    <row r="85" spans="3:3" x14ac:dyDescent="0.25">
      <c r="C85" s="391" t="s">
        <v>1183</v>
      </c>
    </row>
    <row r="86" spans="3:3" s="35" customFormat="1" x14ac:dyDescent="0.25"/>
    <row r="87" spans="3:3" x14ac:dyDescent="0.25">
      <c r="C87" s="393" t="s">
        <v>904</v>
      </c>
    </row>
    <row r="88" spans="3:3" x14ac:dyDescent="0.25">
      <c r="C88" s="391" t="s">
        <v>905</v>
      </c>
    </row>
    <row r="90" spans="3:3" x14ac:dyDescent="0.25">
      <c r="C90" s="35"/>
    </row>
    <row r="92" spans="3:3" x14ac:dyDescent="0.25">
      <c r="C92" s="35"/>
    </row>
    <row r="93" spans="3:3" x14ac:dyDescent="0.25">
      <c r="C93" s="35"/>
    </row>
  </sheetData>
  <sheetProtection algorithmName="SHA-512" hashValue="0NOvZzr+kpLxABOEX6pJPy8whkVL17VnhspD29QvAgp7l+e2TM6OqaeUZGkmtWZNgfQg+ksEvZ4a6Xm1gNCbeA==" saltValue="182SnFmJA+lFO5yGQyy8kA==" spinCount="100000" sheet="1" objects="1" scenarios="1"/>
  <mergeCells count="3">
    <mergeCell ref="B3:O3"/>
    <mergeCell ref="B2:O2"/>
    <mergeCell ref="A18:B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2:CW61"/>
  <sheetViews>
    <sheetView showGridLines="0" zoomScaleNormal="100" workbookViewId="0"/>
  </sheetViews>
  <sheetFormatPr defaultRowHeight="15" x14ac:dyDescent="0.25"/>
  <cols>
    <col min="1" max="1" width="9.5703125" customWidth="1"/>
    <col min="2" max="2" width="9.28515625" bestFit="1" customWidth="1"/>
    <col min="3" max="3" width="6.7109375" customWidth="1"/>
    <col min="4" max="4" width="10.5703125" style="35" bestFit="1" customWidth="1"/>
    <col min="5" max="34" width="6.7109375" style="157" hidden="1" customWidth="1"/>
    <col min="35" max="35" width="6.7109375" hidden="1" customWidth="1"/>
    <col min="36" max="65" width="6.7109375" style="157" hidden="1" customWidth="1"/>
    <col min="66" max="66" width="6.7109375" style="35" hidden="1" customWidth="1"/>
    <col min="67" max="96" width="6.7109375" style="157" customWidth="1"/>
    <col min="97" max="97" width="17.85546875" bestFit="1" customWidth="1"/>
    <col min="98" max="98" width="23" bestFit="1" customWidth="1"/>
    <col min="100" max="100" width="13.85546875" customWidth="1"/>
  </cols>
  <sheetData>
    <row r="2" spans="1:100" s="35" customFormat="1" ht="36" customHeight="1" x14ac:dyDescent="0.25">
      <c r="B2" s="1139" t="s">
        <v>575</v>
      </c>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c r="AL2" s="1140"/>
      <c r="AM2" s="1140"/>
      <c r="AN2" s="1140"/>
      <c r="AO2" s="1140"/>
      <c r="AP2" s="1140"/>
      <c r="AQ2" s="1140"/>
      <c r="AR2" s="1140"/>
      <c r="AS2" s="1140"/>
      <c r="AT2" s="1140"/>
      <c r="AU2" s="1140"/>
      <c r="AV2" s="1140"/>
      <c r="AW2" s="1140"/>
      <c r="AX2" s="1140"/>
      <c r="AY2" s="1140"/>
      <c r="AZ2" s="1140"/>
      <c r="BA2" s="1140"/>
      <c r="BB2" s="1140"/>
      <c r="BC2" s="1140"/>
      <c r="BD2" s="1140"/>
      <c r="BE2" s="1140"/>
      <c r="BF2" s="1140"/>
      <c r="BG2" s="1140"/>
      <c r="BH2" s="1140"/>
      <c r="BI2" s="1140"/>
      <c r="BJ2" s="1140"/>
      <c r="BK2" s="1140"/>
      <c r="BL2" s="1140"/>
      <c r="BM2" s="1140"/>
      <c r="BN2" s="1140"/>
      <c r="BO2" s="1140"/>
      <c r="BP2" s="1140"/>
      <c r="BQ2" s="1140"/>
      <c r="BR2" s="1140"/>
      <c r="BS2" s="1140"/>
      <c r="BT2" s="1140"/>
      <c r="BU2" s="1140"/>
      <c r="BV2" s="1140"/>
      <c r="BW2" s="1140"/>
      <c r="BX2" s="1140"/>
      <c r="BY2" s="1140"/>
      <c r="BZ2" s="1140"/>
      <c r="CA2" s="1140"/>
      <c r="CB2" s="1140"/>
      <c r="CC2" s="1140"/>
      <c r="CD2" s="1140"/>
      <c r="CE2" s="1140"/>
      <c r="CF2" s="1140"/>
      <c r="CG2" s="1140"/>
      <c r="CH2" s="1140"/>
      <c r="CI2" s="1140"/>
      <c r="CJ2" s="1140"/>
      <c r="CK2" s="1140"/>
      <c r="CL2" s="1140"/>
      <c r="CM2" s="1140"/>
      <c r="CN2" s="1140"/>
      <c r="CO2" s="1140"/>
      <c r="CP2" s="1140"/>
      <c r="CQ2" s="1140"/>
      <c r="CR2" s="1141"/>
    </row>
    <row r="3" spans="1:100" s="35" customFormat="1" ht="37.5" customHeight="1" x14ac:dyDescent="0.25">
      <c r="B3" s="1142" t="s">
        <v>574</v>
      </c>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c r="AH3" s="1143"/>
      <c r="AI3" s="1143"/>
      <c r="AJ3" s="1143"/>
      <c r="AK3" s="1143"/>
      <c r="AL3" s="1143"/>
      <c r="AM3" s="1143"/>
      <c r="AN3" s="1143"/>
      <c r="AO3" s="1143"/>
      <c r="AP3" s="1143"/>
      <c r="AQ3" s="1143"/>
      <c r="AR3" s="1143"/>
      <c r="AS3" s="1143"/>
      <c r="AT3" s="1143"/>
      <c r="AU3" s="1143"/>
      <c r="AV3" s="1143"/>
      <c r="AW3" s="1143"/>
      <c r="AX3" s="1143"/>
      <c r="AY3" s="1143"/>
      <c r="AZ3" s="1143"/>
      <c r="BA3" s="1143"/>
      <c r="BB3" s="1143"/>
      <c r="BC3" s="1143"/>
      <c r="BD3" s="1143"/>
      <c r="BE3" s="1143"/>
      <c r="BF3" s="1143"/>
      <c r="BG3" s="1143"/>
      <c r="BH3" s="1143"/>
      <c r="BI3" s="1143"/>
      <c r="BJ3" s="1143"/>
      <c r="BK3" s="1143"/>
      <c r="BL3" s="1143"/>
      <c r="BM3" s="1143"/>
      <c r="BN3" s="1143"/>
      <c r="BO3" s="1143"/>
      <c r="BP3" s="1143"/>
      <c r="BQ3" s="1143"/>
      <c r="BR3" s="1143"/>
      <c r="BS3" s="1143"/>
      <c r="BT3" s="1143"/>
      <c r="BU3" s="1143"/>
      <c r="BV3" s="1143"/>
      <c r="BW3" s="1143"/>
      <c r="BX3" s="1143"/>
      <c r="BY3" s="1143"/>
      <c r="BZ3" s="1143"/>
      <c r="CA3" s="1143"/>
      <c r="CB3" s="1143"/>
      <c r="CC3" s="1143"/>
      <c r="CD3" s="1143"/>
      <c r="CE3" s="1143"/>
      <c r="CF3" s="1143"/>
      <c r="CG3" s="1143"/>
      <c r="CH3" s="1143"/>
      <c r="CI3" s="1143"/>
      <c r="CJ3" s="1143"/>
      <c r="CK3" s="1143"/>
      <c r="CL3" s="1143"/>
      <c r="CM3" s="1143"/>
      <c r="CN3" s="1143"/>
      <c r="CO3" s="1143"/>
      <c r="CP3" s="1143"/>
      <c r="CQ3" s="1143"/>
      <c r="CR3" s="1144"/>
    </row>
    <row r="4" spans="1:100" s="35" customFormat="1" x14ac:dyDescent="0.25">
      <c r="E4" s="213" t="s">
        <v>577</v>
      </c>
      <c r="F4" s="212"/>
      <c r="G4" s="212"/>
      <c r="H4" s="212"/>
      <c r="I4" s="212"/>
      <c r="J4" s="213" t="s">
        <v>577</v>
      </c>
      <c r="K4" s="212"/>
      <c r="L4" s="212"/>
      <c r="M4" s="212"/>
      <c r="N4" s="212"/>
      <c r="O4" s="213" t="s">
        <v>577</v>
      </c>
      <c r="P4" s="212"/>
      <c r="Q4" s="212"/>
      <c r="R4" s="212"/>
      <c r="S4" s="212"/>
      <c r="T4" s="213" t="s">
        <v>577</v>
      </c>
      <c r="U4" s="212"/>
      <c r="V4" s="212"/>
      <c r="W4" s="212"/>
      <c r="X4" s="212"/>
      <c r="Y4" s="213" t="s">
        <v>577</v>
      </c>
      <c r="Z4" s="212"/>
      <c r="AA4" s="212"/>
      <c r="AB4" s="212"/>
      <c r="AC4" s="212"/>
      <c r="AD4" s="213" t="s">
        <v>577</v>
      </c>
      <c r="AE4" s="212"/>
      <c r="AF4" s="212"/>
      <c r="AG4" s="212"/>
      <c r="AH4" s="212"/>
      <c r="AI4" s="213" t="s">
        <v>577</v>
      </c>
      <c r="AJ4" s="212"/>
      <c r="AK4" s="212"/>
      <c r="AL4" s="212"/>
      <c r="AM4" s="212"/>
      <c r="AN4" s="213" t="s">
        <v>577</v>
      </c>
      <c r="AO4" s="212"/>
      <c r="AP4" s="212"/>
      <c r="AQ4" s="212"/>
      <c r="AR4" s="212"/>
      <c r="AS4" s="213" t="s">
        <v>577</v>
      </c>
      <c r="AT4" s="212"/>
      <c r="AU4" s="212"/>
      <c r="AV4" s="212"/>
      <c r="AW4" s="212"/>
      <c r="AX4" s="213" t="s">
        <v>577</v>
      </c>
      <c r="AY4" s="212"/>
      <c r="AZ4" s="212"/>
      <c r="BA4" s="212"/>
      <c r="BB4" s="212"/>
      <c r="BC4" s="213" t="s">
        <v>577</v>
      </c>
      <c r="BD4" s="212"/>
      <c r="BE4" s="212"/>
      <c r="BF4" s="212"/>
      <c r="BG4" s="212"/>
      <c r="BH4" s="213" t="s">
        <v>577</v>
      </c>
      <c r="BI4" s="212"/>
      <c r="BJ4" s="212"/>
      <c r="BK4" s="212"/>
      <c r="BL4" s="212"/>
      <c r="BM4" s="213" t="s">
        <v>578</v>
      </c>
      <c r="BN4" s="311"/>
    </row>
    <row r="5" spans="1:100" x14ac:dyDescent="0.25">
      <c r="E5" s="1130" t="s">
        <v>570</v>
      </c>
      <c r="F5" s="1130"/>
      <c r="G5" s="1130"/>
      <c r="H5" s="1130"/>
      <c r="I5" s="1130"/>
      <c r="J5" s="1130"/>
      <c r="K5" s="1130"/>
      <c r="L5" s="1130"/>
      <c r="M5" s="1130"/>
      <c r="N5" s="1130"/>
      <c r="O5" s="1130"/>
      <c r="P5" s="1130"/>
      <c r="Q5" s="1130"/>
      <c r="R5" s="1130"/>
      <c r="S5" s="1130"/>
      <c r="T5" s="1130"/>
      <c r="U5" s="1130"/>
      <c r="V5" s="1130"/>
      <c r="W5" s="1130"/>
      <c r="X5" s="1130"/>
      <c r="Y5" s="1130"/>
      <c r="Z5" s="1130"/>
      <c r="AA5" s="1130"/>
      <c r="AB5" s="1130"/>
      <c r="AC5" s="1130"/>
      <c r="AD5" s="1130"/>
      <c r="AE5" s="1130"/>
      <c r="AF5" s="1130"/>
      <c r="AG5" s="1130"/>
      <c r="AH5" s="1130"/>
      <c r="AJ5" s="1131" t="s">
        <v>571</v>
      </c>
      <c r="AK5" s="1131"/>
      <c r="AL5" s="1131"/>
      <c r="AM5" s="1131"/>
      <c r="AN5" s="1131"/>
      <c r="AO5" s="1131"/>
      <c r="AP5" s="1131"/>
      <c r="AQ5" s="1131"/>
      <c r="AR5" s="1131"/>
      <c r="AS5" s="1131"/>
      <c r="AT5" s="1131"/>
      <c r="AU5" s="1131"/>
      <c r="AV5" s="1131"/>
      <c r="AW5" s="1131"/>
      <c r="AX5" s="1131"/>
      <c r="AY5" s="1131"/>
      <c r="AZ5" s="1131"/>
      <c r="BA5" s="1131"/>
      <c r="BB5" s="1131"/>
      <c r="BC5" s="1131"/>
      <c r="BD5" s="1131"/>
      <c r="BE5" s="1131"/>
      <c r="BF5" s="1131"/>
      <c r="BG5" s="1131"/>
      <c r="BH5" s="1131"/>
      <c r="BI5" s="1131"/>
      <c r="BJ5" s="1131"/>
      <c r="BK5" s="1131"/>
      <c r="BL5" s="1131"/>
      <c r="BM5" s="1131"/>
      <c r="BO5" s="1136" t="s">
        <v>572</v>
      </c>
      <c r="BP5" s="1137"/>
      <c r="BQ5" s="1137"/>
      <c r="BR5" s="1137"/>
      <c r="BS5" s="1137"/>
      <c r="BT5" s="1137"/>
      <c r="BU5" s="1137"/>
      <c r="BV5" s="1137"/>
      <c r="BW5" s="1137"/>
      <c r="BX5" s="1137"/>
      <c r="BY5" s="1137"/>
      <c r="BZ5" s="1137"/>
      <c r="CA5" s="1137"/>
      <c r="CB5" s="1137"/>
      <c r="CC5" s="1137"/>
      <c r="CD5" s="1137"/>
      <c r="CE5" s="1137"/>
      <c r="CF5" s="1137"/>
      <c r="CG5" s="1137"/>
      <c r="CH5" s="1137"/>
      <c r="CI5" s="1137"/>
      <c r="CJ5" s="1137"/>
      <c r="CK5" s="1137"/>
      <c r="CL5" s="1137"/>
      <c r="CM5" s="1137"/>
      <c r="CN5" s="1137"/>
      <c r="CO5" s="1137"/>
      <c r="CP5" s="1137"/>
      <c r="CQ5" s="1137"/>
      <c r="CR5" s="1138"/>
    </row>
    <row r="6" spans="1:100" x14ac:dyDescent="0.25">
      <c r="B6" s="1126" t="str">
        <f>FirstDirection</f>
        <v>Direction 1</v>
      </c>
      <c r="C6" s="1127"/>
      <c r="D6" s="1127"/>
      <c r="E6" s="1134" t="s">
        <v>239</v>
      </c>
      <c r="F6" s="1128"/>
      <c r="G6" s="1128"/>
      <c r="H6" s="1128"/>
      <c r="I6" s="1128"/>
      <c r="J6" s="1135"/>
      <c r="K6" s="1133" t="s">
        <v>562</v>
      </c>
      <c r="L6" s="1128"/>
      <c r="M6" s="1128"/>
      <c r="N6" s="1128"/>
      <c r="O6" s="1128"/>
      <c r="P6" s="1128"/>
      <c r="Q6" s="1128" t="str">
        <f>FirstDetourName</f>
        <v>Primary Detour</v>
      </c>
      <c r="R6" s="1128"/>
      <c r="S6" s="1128"/>
      <c r="T6" s="1128"/>
      <c r="U6" s="1128"/>
      <c r="V6" s="1128"/>
      <c r="W6" s="1128" t="str">
        <f>SecondDetourName</f>
        <v>Secondary Detour</v>
      </c>
      <c r="X6" s="1128"/>
      <c r="Y6" s="1128"/>
      <c r="Z6" s="1128"/>
      <c r="AA6" s="1128"/>
      <c r="AB6" s="1128"/>
      <c r="AC6" s="1128" t="str">
        <f>ThirdDetourName</f>
        <v>Tertiary Detour</v>
      </c>
      <c r="AD6" s="1128"/>
      <c r="AE6" s="1128"/>
      <c r="AF6" s="1128"/>
      <c r="AG6" s="1128"/>
      <c r="AH6" s="1129"/>
      <c r="AJ6" s="1132" t="s">
        <v>239</v>
      </c>
      <c r="AK6" s="1128"/>
      <c r="AL6" s="1128"/>
      <c r="AM6" s="1128"/>
      <c r="AN6" s="1128"/>
      <c r="AO6" s="1128"/>
      <c r="AP6" s="1128" t="s">
        <v>562</v>
      </c>
      <c r="AQ6" s="1128"/>
      <c r="AR6" s="1128"/>
      <c r="AS6" s="1128"/>
      <c r="AT6" s="1128"/>
      <c r="AU6" s="1128"/>
      <c r="AV6" s="1128" t="str">
        <f>FirstDetourName</f>
        <v>Primary Detour</v>
      </c>
      <c r="AW6" s="1128"/>
      <c r="AX6" s="1128"/>
      <c r="AY6" s="1128"/>
      <c r="AZ6" s="1128"/>
      <c r="BA6" s="1128"/>
      <c r="BB6" s="1128" t="str">
        <f>SecondDetourName</f>
        <v>Secondary Detour</v>
      </c>
      <c r="BC6" s="1128"/>
      <c r="BD6" s="1128"/>
      <c r="BE6" s="1128"/>
      <c r="BF6" s="1128"/>
      <c r="BG6" s="1128"/>
      <c r="BH6" s="1128" t="str">
        <f>ThirdDetourName</f>
        <v>Tertiary Detour</v>
      </c>
      <c r="BI6" s="1128"/>
      <c r="BJ6" s="1128"/>
      <c r="BK6" s="1128"/>
      <c r="BL6" s="1128"/>
      <c r="BM6" s="1129"/>
      <c r="BO6" s="1132" t="s">
        <v>239</v>
      </c>
      <c r="BP6" s="1128"/>
      <c r="BQ6" s="1128"/>
      <c r="BR6" s="1128"/>
      <c r="BS6" s="1128"/>
      <c r="BT6" s="1128"/>
      <c r="BU6" s="1128" t="s">
        <v>562</v>
      </c>
      <c r="BV6" s="1128"/>
      <c r="BW6" s="1128"/>
      <c r="BX6" s="1128"/>
      <c r="BY6" s="1128"/>
      <c r="BZ6" s="1128"/>
      <c r="CA6" s="1128" t="str">
        <f>FirstDetourName</f>
        <v>Primary Detour</v>
      </c>
      <c r="CB6" s="1128"/>
      <c r="CC6" s="1128"/>
      <c r="CD6" s="1128"/>
      <c r="CE6" s="1128"/>
      <c r="CF6" s="1128"/>
      <c r="CG6" s="1128" t="str">
        <f>SecondDetourName</f>
        <v>Secondary Detour</v>
      </c>
      <c r="CH6" s="1128"/>
      <c r="CI6" s="1128"/>
      <c r="CJ6" s="1128"/>
      <c r="CK6" s="1128"/>
      <c r="CL6" s="1128"/>
      <c r="CM6" s="1128" t="str">
        <f>ThirdDetourName</f>
        <v>Tertiary Detour</v>
      </c>
      <c r="CN6" s="1128"/>
      <c r="CO6" s="1128"/>
      <c r="CP6" s="1128"/>
      <c r="CQ6" s="1128"/>
      <c r="CR6" s="1129"/>
      <c r="CS6" s="35"/>
      <c r="CT6" s="35"/>
      <c r="CU6" s="35"/>
      <c r="CV6" s="35"/>
    </row>
    <row r="7" spans="1:100" x14ac:dyDescent="0.25">
      <c r="B7" s="161" t="s">
        <v>178</v>
      </c>
      <c r="C7" s="154" t="s">
        <v>356</v>
      </c>
      <c r="D7" s="154" t="s">
        <v>528</v>
      </c>
      <c r="E7" s="183" t="s">
        <v>239</v>
      </c>
      <c r="F7" s="161" t="s">
        <v>203</v>
      </c>
      <c r="G7" s="161" t="s">
        <v>176</v>
      </c>
      <c r="H7" s="161" t="s">
        <v>559</v>
      </c>
      <c r="I7" s="161" t="s">
        <v>558</v>
      </c>
      <c r="J7" s="153" t="s">
        <v>533</v>
      </c>
      <c r="K7" s="156" t="s">
        <v>239</v>
      </c>
      <c r="L7" s="161" t="s">
        <v>203</v>
      </c>
      <c r="M7" s="161" t="s">
        <v>176</v>
      </c>
      <c r="N7" s="161" t="s">
        <v>559</v>
      </c>
      <c r="O7" s="161" t="s">
        <v>558</v>
      </c>
      <c r="P7" s="153" t="s">
        <v>533</v>
      </c>
      <c r="Q7" s="183" t="s">
        <v>239</v>
      </c>
      <c r="R7" s="161" t="s">
        <v>203</v>
      </c>
      <c r="S7" s="161" t="s">
        <v>176</v>
      </c>
      <c r="T7" s="161" t="s">
        <v>559</v>
      </c>
      <c r="U7" s="161" t="s">
        <v>558</v>
      </c>
      <c r="V7" s="153" t="s">
        <v>533</v>
      </c>
      <c r="W7" s="183" t="s">
        <v>239</v>
      </c>
      <c r="X7" s="161" t="s">
        <v>203</v>
      </c>
      <c r="Y7" s="161" t="s">
        <v>176</v>
      </c>
      <c r="Z7" s="161" t="s">
        <v>559</v>
      </c>
      <c r="AA7" s="161" t="s">
        <v>558</v>
      </c>
      <c r="AB7" s="153" t="s">
        <v>533</v>
      </c>
      <c r="AC7" s="156" t="s">
        <v>239</v>
      </c>
      <c r="AD7" s="161" t="s">
        <v>203</v>
      </c>
      <c r="AE7" s="161" t="s">
        <v>176</v>
      </c>
      <c r="AF7" s="161" t="s">
        <v>559</v>
      </c>
      <c r="AG7" s="161" t="s">
        <v>558</v>
      </c>
      <c r="AH7" s="161" t="s">
        <v>533</v>
      </c>
      <c r="AJ7" s="161" t="s">
        <v>239</v>
      </c>
      <c r="AK7" s="161" t="s">
        <v>203</v>
      </c>
      <c r="AL7" s="161" t="s">
        <v>176</v>
      </c>
      <c r="AM7" s="161" t="s">
        <v>559</v>
      </c>
      <c r="AN7" s="161" t="s">
        <v>558</v>
      </c>
      <c r="AO7" s="153" t="s">
        <v>533</v>
      </c>
      <c r="AP7" s="183" t="s">
        <v>239</v>
      </c>
      <c r="AQ7" s="161" t="s">
        <v>203</v>
      </c>
      <c r="AR7" s="161" t="s">
        <v>176</v>
      </c>
      <c r="AS7" s="161" t="s">
        <v>559</v>
      </c>
      <c r="AT7" s="161" t="s">
        <v>558</v>
      </c>
      <c r="AU7" s="153" t="s">
        <v>533</v>
      </c>
      <c r="AV7" s="183" t="s">
        <v>239</v>
      </c>
      <c r="AW7" s="161" t="s">
        <v>203</v>
      </c>
      <c r="AX7" s="161" t="s">
        <v>176</v>
      </c>
      <c r="AY7" s="161" t="s">
        <v>559</v>
      </c>
      <c r="AZ7" s="161" t="s">
        <v>558</v>
      </c>
      <c r="BA7" s="153" t="s">
        <v>533</v>
      </c>
      <c r="BB7" s="183" t="s">
        <v>239</v>
      </c>
      <c r="BC7" s="161" t="s">
        <v>203</v>
      </c>
      <c r="BD7" s="161" t="s">
        <v>176</v>
      </c>
      <c r="BE7" s="161" t="s">
        <v>559</v>
      </c>
      <c r="BF7" s="161" t="s">
        <v>558</v>
      </c>
      <c r="BG7" s="153" t="s">
        <v>533</v>
      </c>
      <c r="BH7" s="156" t="s">
        <v>239</v>
      </c>
      <c r="BI7" s="161" t="s">
        <v>203</v>
      </c>
      <c r="BJ7" s="161" t="s">
        <v>176</v>
      </c>
      <c r="BK7" s="161" t="s">
        <v>559</v>
      </c>
      <c r="BL7" s="161" t="s">
        <v>558</v>
      </c>
      <c r="BM7" s="161" t="s">
        <v>533</v>
      </c>
      <c r="BO7" s="161" t="s">
        <v>239</v>
      </c>
      <c r="BP7" s="161" t="s">
        <v>203</v>
      </c>
      <c r="BQ7" s="161" t="s">
        <v>176</v>
      </c>
      <c r="BR7" s="161" t="s">
        <v>559</v>
      </c>
      <c r="BS7" s="161" t="s">
        <v>558</v>
      </c>
      <c r="BT7" s="153" t="s">
        <v>533</v>
      </c>
      <c r="BU7" s="183" t="s">
        <v>239</v>
      </c>
      <c r="BV7" s="161" t="s">
        <v>203</v>
      </c>
      <c r="BW7" s="161" t="s">
        <v>176</v>
      </c>
      <c r="BX7" s="161" t="s">
        <v>559</v>
      </c>
      <c r="BY7" s="161" t="s">
        <v>558</v>
      </c>
      <c r="BZ7" s="153" t="s">
        <v>533</v>
      </c>
      <c r="CA7" s="183" t="s">
        <v>239</v>
      </c>
      <c r="CB7" s="161" t="s">
        <v>203</v>
      </c>
      <c r="CC7" s="161" t="s">
        <v>176</v>
      </c>
      <c r="CD7" s="161" t="s">
        <v>559</v>
      </c>
      <c r="CE7" s="161" t="s">
        <v>558</v>
      </c>
      <c r="CF7" s="153" t="s">
        <v>533</v>
      </c>
      <c r="CG7" s="183" t="s">
        <v>239</v>
      </c>
      <c r="CH7" s="161" t="s">
        <v>203</v>
      </c>
      <c r="CI7" s="161" t="s">
        <v>176</v>
      </c>
      <c r="CJ7" s="161" t="s">
        <v>559</v>
      </c>
      <c r="CK7" s="161" t="s">
        <v>558</v>
      </c>
      <c r="CL7" s="153" t="s">
        <v>533</v>
      </c>
      <c r="CM7" s="156" t="s">
        <v>239</v>
      </c>
      <c r="CN7" s="161" t="s">
        <v>203</v>
      </c>
      <c r="CO7" s="161" t="s">
        <v>176</v>
      </c>
      <c r="CP7" s="161" t="s">
        <v>559</v>
      </c>
      <c r="CQ7" s="161" t="s">
        <v>558</v>
      </c>
      <c r="CR7" s="161" t="s">
        <v>533</v>
      </c>
      <c r="CS7" s="35"/>
      <c r="CT7" s="35"/>
      <c r="CU7" s="35"/>
      <c r="CV7" s="35"/>
    </row>
    <row r="8" spans="1:100" x14ac:dyDescent="0.25">
      <c r="A8" s="319"/>
      <c r="B8" s="152">
        <f>IF(TimeStart1="All Day",0,TimeStart1)</f>
        <v>0</v>
      </c>
      <c r="C8" s="205" t="e">
        <f t="shared" ref="C8:C31" si="0">VLOOKUP(B8,HourlyFactor,2)</f>
        <v>#N/A</v>
      </c>
      <c r="D8" s="159" t="s">
        <v>531</v>
      </c>
      <c r="E8" s="178" t="e">
        <f t="shared" ref="E8:J8" si="1">K8+Q8+W8+AC8</f>
        <v>#N/A</v>
      </c>
      <c r="F8" s="162" t="e">
        <f t="shared" si="1"/>
        <v>#N/A</v>
      </c>
      <c r="G8" s="162" t="e">
        <f t="shared" si="1"/>
        <v>#N/A</v>
      </c>
      <c r="H8" s="162" t="e">
        <f t="shared" si="1"/>
        <v>#N/A</v>
      </c>
      <c r="I8" s="162" t="e">
        <f t="shared" si="1"/>
        <v>#N/A</v>
      </c>
      <c r="J8" s="112" t="e">
        <f t="shared" si="1"/>
        <v>#N/A</v>
      </c>
      <c r="K8" s="160" t="e">
        <f>SUM(L8:O8)</f>
        <v>#N/A</v>
      </c>
      <c r="L8" s="162" t="e">
        <f t="shared" ref="L8:L31" si="2">ROUND(ADTPC1wz*($C8/100),0)</f>
        <v>#N/A</v>
      </c>
      <c r="M8" s="162" t="e">
        <f t="shared" ref="M8:M31" si="3">ROUND(ADTSU1wz*($C8/100),0)</f>
        <v>#N/A</v>
      </c>
      <c r="N8" s="162" t="e">
        <f t="shared" ref="N8:N31" si="4">ROUND(ADTCT1wz*($C8/100),0)</f>
        <v>#N/A</v>
      </c>
      <c r="O8" s="162" t="e">
        <f t="shared" ref="O8:O31" si="5">ROUND(ADTRV1wz*($C8/100),0)</f>
        <v>#N/A</v>
      </c>
      <c r="P8" s="112" t="e">
        <f t="shared" ref="P8:P31" si="6">ROUND(ADTPCE1wz*($C8/100),0)</f>
        <v>#N/A</v>
      </c>
      <c r="Q8" s="178" t="e">
        <f>SUM(R8:U8)</f>
        <v>#N/A</v>
      </c>
      <c r="R8" s="162" t="e">
        <f t="shared" ref="R8:R31" si="7">ROUND(ADTPC1d1*($C8/100),0)</f>
        <v>#N/A</v>
      </c>
      <c r="S8" s="162" t="e">
        <f t="shared" ref="S8:S31" si="8">ROUND(ADTSU1d1*($C8/100),0)</f>
        <v>#N/A</v>
      </c>
      <c r="T8" s="162" t="e">
        <f t="shared" ref="T8:T31" si="9">ROUND(ADTCT1d1*($C8/100),0)</f>
        <v>#N/A</v>
      </c>
      <c r="U8" s="162" t="e">
        <f t="shared" ref="U8:U31" si="10">ROUND(ADTRV1d1*($C8/100),0)</f>
        <v>#N/A</v>
      </c>
      <c r="V8" s="112" t="e">
        <f t="shared" ref="V8:V31" si="11">ROUND(ADTPCE1d1*($C8/100),0)</f>
        <v>#N/A</v>
      </c>
      <c r="W8" s="178" t="e">
        <f>SUM(X8:AA8)</f>
        <v>#N/A</v>
      </c>
      <c r="X8" s="162" t="e">
        <f t="shared" ref="X8:X31" si="12">ROUND(ADTPC1d2*($C8/100),0)</f>
        <v>#N/A</v>
      </c>
      <c r="Y8" s="162" t="e">
        <f t="shared" ref="Y8:Y31" si="13">ROUND(ADTSU1d2*($C8/100),0)</f>
        <v>#N/A</v>
      </c>
      <c r="Z8" s="162" t="e">
        <f t="shared" ref="Z8:Z31" si="14">ROUND(ADTCT1d2*($C8/100),0)</f>
        <v>#N/A</v>
      </c>
      <c r="AA8" s="162" t="e">
        <f t="shared" ref="AA8:AA31" si="15">ROUND(ADTRV1d2*($C8/100),0)</f>
        <v>#N/A</v>
      </c>
      <c r="AB8" s="112" t="e">
        <f t="shared" ref="AB8:AB31" si="16">ROUND(ADTPCE1d2*($C8/100),0)</f>
        <v>#N/A</v>
      </c>
      <c r="AC8" s="178" t="e">
        <f>SUM(AD8:AG8)</f>
        <v>#N/A</v>
      </c>
      <c r="AD8" s="162" t="e">
        <f t="shared" ref="AD8:AD31" si="17">ROUND(ADTPC1d3*($C8/100),0)</f>
        <v>#N/A</v>
      </c>
      <c r="AE8" s="162" t="e">
        <f t="shared" ref="AE8:AE31" si="18">ROUND(ADTSU1d3*($C8/100),0)</f>
        <v>#N/A</v>
      </c>
      <c r="AF8" s="162" t="e">
        <f t="shared" ref="AF8:AF31" si="19">ROUND(ADTCT1d3*($C8/100),0)</f>
        <v>#N/A</v>
      </c>
      <c r="AG8" s="162" t="e">
        <f t="shared" ref="AG8:AG31" si="20">ROUND(ADTRV1d3*($C8/100),0)</f>
        <v>#N/A</v>
      </c>
      <c r="AH8" s="162" t="e">
        <f t="shared" ref="AH8:AH31" si="21">ROUND(ADTPCE1d3*($C8/100),0)</f>
        <v>#N/A</v>
      </c>
      <c r="AJ8" s="166" t="s">
        <v>270</v>
      </c>
      <c r="AK8" s="166" t="s">
        <v>270</v>
      </c>
      <c r="AL8" s="166" t="s">
        <v>270</v>
      </c>
      <c r="AM8" s="166" t="s">
        <v>270</v>
      </c>
      <c r="AN8" s="166" t="s">
        <v>270</v>
      </c>
      <c r="AO8" s="166" t="s">
        <v>270</v>
      </c>
      <c r="AP8" s="208" t="s">
        <v>270</v>
      </c>
      <c r="AQ8" s="162" t="e">
        <f>IF(RANK($C8,$C$8:$C$31)&gt;ABS(AQ$32),0,(AQ$32/ABS(AQ$32)))</f>
        <v>#N/A</v>
      </c>
      <c r="AR8" s="162" t="e">
        <f>IF(RANK($C8,$C$8:$C$31)&gt;ABS(AR$32),0,(AR$32/ABS(AR$32)))</f>
        <v>#N/A</v>
      </c>
      <c r="AS8" s="162" t="e">
        <f>IF(RANK($C8,$C$8:$C$31)&gt;ABS(AS$32),0,(AS$32/ABS(AS$32)))</f>
        <v>#N/A</v>
      </c>
      <c r="AT8" s="162" t="e">
        <f>IF(RANK($C8,$C$8:$C$31)&gt;ABS(AT$32),0,(AT$32/ABS(AT$32)))</f>
        <v>#N/A</v>
      </c>
      <c r="AU8" s="162" t="e">
        <f>IF(RANK($C8,$C$8:$C$31)&gt;ABS(AU$32),0,(AU$32/ABS(AU$32)))</f>
        <v>#N/A</v>
      </c>
      <c r="AV8" s="208" t="s">
        <v>270</v>
      </c>
      <c r="AW8" s="162" t="e">
        <f>IF(RANK($C8,$C$8:$C$31)&gt;ABS(AW$32),0,(AW$32/ABS(AW$32)))</f>
        <v>#N/A</v>
      </c>
      <c r="AX8" s="162" t="e">
        <f>IF(RANK($C8,$C$8:$C$31)&gt;ABS(AX$32),0,(AX$32/ABS(AX$32)))</f>
        <v>#N/A</v>
      </c>
      <c r="AY8" s="162" t="e">
        <f>IF(RANK($C8,$C$8:$C$31)&gt;ABS(AY$32),0,(AY$32/ABS(AY$32)))</f>
        <v>#N/A</v>
      </c>
      <c r="AZ8" s="162" t="e">
        <f>IF(RANK($C8,$C$8:$C$31)&gt;ABS(AZ$32),0,(AZ$32/ABS(AZ$32)))</f>
        <v>#N/A</v>
      </c>
      <c r="BA8" s="162" t="e">
        <f>IF(RANK($C8,$C$8:$C$31)&gt;ABS(BA$32),0,(BA$32/ABS(BA$32)))</f>
        <v>#N/A</v>
      </c>
      <c r="BB8" s="208" t="s">
        <v>270</v>
      </c>
      <c r="BC8" s="162" t="e">
        <f>IF(RANK($C8,$C$8:$C$31)&gt;ABS(BC$32),0,(BC$32/ABS(BC$32)))</f>
        <v>#N/A</v>
      </c>
      <c r="BD8" s="162" t="e">
        <f>IF(RANK($C8,$C$8:$C$31)&gt;ABS(BD$32),0,(BD$32/ABS(BD$32)))</f>
        <v>#N/A</v>
      </c>
      <c r="BE8" s="162" t="e">
        <f>IF(RANK($C8,$C$8:$C$31)&gt;ABS(BE$32),0,(BE$32/ABS(BE$32)))</f>
        <v>#N/A</v>
      </c>
      <c r="BF8" s="162" t="e">
        <f>IF(RANK($C8,$C$8:$C$31)&gt;ABS(BF$32),0,(BF$32/ABS(BF$32)))</f>
        <v>#N/A</v>
      </c>
      <c r="BG8" s="162" t="e">
        <f>IF(RANK($C8,$C$8:$C$31)&gt;ABS(BG$32),0,(BG$32/ABS(BG$32)))</f>
        <v>#N/A</v>
      </c>
      <c r="BH8" s="208" t="s">
        <v>270</v>
      </c>
      <c r="BI8" s="162" t="e">
        <f>IF(RANK($C8,$C$8:$C$31)&gt;ABS(BI$32),0,(BI$32/ABS(BI$32)))</f>
        <v>#N/A</v>
      </c>
      <c r="BJ8" s="162" t="e">
        <f>IF(RANK($C8,$C$8:$C$31)&gt;ABS(BJ$32),0,(BJ$32/ABS(BJ$32)))</f>
        <v>#N/A</v>
      </c>
      <c r="BK8" s="162" t="e">
        <f>IF(RANK($C8,$C$8:$C$31)&gt;ABS(BK$32),0,(BK$32/ABS(BK$32)))</f>
        <v>#N/A</v>
      </c>
      <c r="BL8" s="162" t="e">
        <f>IF(RANK($C8,$C$8:$C$31)&gt;ABS(BL$32),0,(BL$32/ABS(BL$32)))</f>
        <v>#N/A</v>
      </c>
      <c r="BM8" s="162" t="e">
        <f>IF(RANK($C8,$C$8:$C$31)&gt;ABS(BM$32),0,(BM$32/ABS(BM$32)))</f>
        <v>#N/A</v>
      </c>
      <c r="BO8" s="162" t="e">
        <f t="shared" ref="BO8:BT8" si="22">BU8+CA8+CG8+CM8</f>
        <v>#N/A</v>
      </c>
      <c r="BP8" s="162" t="e">
        <f t="shared" si="22"/>
        <v>#N/A</v>
      </c>
      <c r="BQ8" s="162" t="e">
        <f t="shared" si="22"/>
        <v>#N/A</v>
      </c>
      <c r="BR8" s="162" t="e">
        <f t="shared" si="22"/>
        <v>#N/A</v>
      </c>
      <c r="BS8" s="162" t="e">
        <f t="shared" si="22"/>
        <v>#N/A</v>
      </c>
      <c r="BT8" s="112" t="e">
        <f t="shared" si="22"/>
        <v>#N/A</v>
      </c>
      <c r="BU8" s="178" t="e">
        <f>SUM(BV8:BY8)</f>
        <v>#N/A</v>
      </c>
      <c r="BV8" s="162" t="e">
        <f>L8+AQ8</f>
        <v>#N/A</v>
      </c>
      <c r="BW8" s="488" t="e">
        <f t="shared" ref="BW8:BZ23" si="23">M8+AR8</f>
        <v>#N/A</v>
      </c>
      <c r="BX8" s="488" t="e">
        <f t="shared" si="23"/>
        <v>#N/A</v>
      </c>
      <c r="BY8" s="488" t="e">
        <f t="shared" si="23"/>
        <v>#N/A</v>
      </c>
      <c r="BZ8" s="488" t="e">
        <f t="shared" si="23"/>
        <v>#N/A</v>
      </c>
      <c r="CA8" s="178" t="e">
        <f>SUM(CB8:CE8)</f>
        <v>#N/A</v>
      </c>
      <c r="CB8" s="488" t="e">
        <f>R8+AW8</f>
        <v>#N/A</v>
      </c>
      <c r="CC8" s="488" t="e">
        <f t="shared" ref="CC8:CC31" si="24">S8+AX8</f>
        <v>#N/A</v>
      </c>
      <c r="CD8" s="488" t="e">
        <f t="shared" ref="CD8:CD31" si="25">T8+AY8</f>
        <v>#N/A</v>
      </c>
      <c r="CE8" s="488" t="e">
        <f t="shared" ref="CE8:CE31" si="26">U8+AZ8</f>
        <v>#N/A</v>
      </c>
      <c r="CF8" s="488" t="e">
        <f t="shared" ref="CF8:CF31" si="27">V8+BA8</f>
        <v>#N/A</v>
      </c>
      <c r="CG8" s="178" t="e">
        <f>SUM(CH8:CK8)</f>
        <v>#N/A</v>
      </c>
      <c r="CH8" s="488" t="e">
        <f>X8+BC8</f>
        <v>#N/A</v>
      </c>
      <c r="CI8" s="488" t="e">
        <f t="shared" ref="CI8:CI31" si="28">Y8+BD8</f>
        <v>#N/A</v>
      </c>
      <c r="CJ8" s="488" t="e">
        <f t="shared" ref="CJ8:CJ31" si="29">Z8+BE8</f>
        <v>#N/A</v>
      </c>
      <c r="CK8" s="488" t="e">
        <f t="shared" ref="CK8:CK31" si="30">AA8+BF8</f>
        <v>#N/A</v>
      </c>
      <c r="CL8" s="488" t="e">
        <f t="shared" ref="CL8:CL31" si="31">AB8+BG8</f>
        <v>#N/A</v>
      </c>
      <c r="CM8" s="178" t="e">
        <f>SUM(CN8:CQ8)</f>
        <v>#N/A</v>
      </c>
      <c r="CN8" s="488" t="e">
        <f>AD8+BI8</f>
        <v>#N/A</v>
      </c>
      <c r="CO8" s="488" t="e">
        <f t="shared" ref="CO8:CO31" si="32">AE8+BJ8</f>
        <v>#N/A</v>
      </c>
      <c r="CP8" s="488" t="e">
        <f t="shared" ref="CP8:CP31" si="33">AF8+BK8</f>
        <v>#N/A</v>
      </c>
      <c r="CQ8" s="488" t="e">
        <f t="shared" ref="CQ8:CQ31" si="34">AG8+BL8</f>
        <v>#N/A</v>
      </c>
      <c r="CR8" s="488" t="e">
        <f t="shared" ref="CR8:CR31" si="35">AH8+BM8</f>
        <v>#N/A</v>
      </c>
      <c r="CS8" s="35"/>
      <c r="CT8" s="35"/>
      <c r="CU8" s="35"/>
      <c r="CV8" s="35"/>
    </row>
    <row r="9" spans="1:100" x14ac:dyDescent="0.25">
      <c r="A9" s="319"/>
      <c r="B9" s="152">
        <f>ROUND(IF(B8+TIME(1,0,0)=1,TIME(0,0,0),IF(B8+TIME(1,0,0)&gt;1,B8+TIME(1,0,0)-1,B8+TIME(1,0,0))),13)</f>
        <v>4.1666666666699999E-2</v>
      </c>
      <c r="C9" s="205" t="e">
        <f t="shared" si="0"/>
        <v>#N/A</v>
      </c>
      <c r="D9" s="159" t="str">
        <f t="shared" ref="D9:D31" si="36">IF(TimeEnd1="All Day","YES",IF((ABS(TimeEnd1-B9)&lt;0.0000000001),"no",IF(D8="YES","YES","no")))</f>
        <v>YES</v>
      </c>
      <c r="E9" s="178" t="e">
        <f t="shared" ref="E9:J31" si="37">K9+Q9+W9+AC9</f>
        <v>#N/A</v>
      </c>
      <c r="F9" s="162" t="e">
        <f t="shared" si="37"/>
        <v>#N/A</v>
      </c>
      <c r="G9" s="162" t="e">
        <f t="shared" si="37"/>
        <v>#N/A</v>
      </c>
      <c r="H9" s="162" t="e">
        <f t="shared" si="37"/>
        <v>#N/A</v>
      </c>
      <c r="I9" s="162" t="e">
        <f t="shared" si="37"/>
        <v>#N/A</v>
      </c>
      <c r="J9" s="112" t="e">
        <f t="shared" si="37"/>
        <v>#N/A</v>
      </c>
      <c r="K9" s="160" t="e">
        <f t="shared" ref="K9:K31" si="38">SUM(L9:O9)</f>
        <v>#N/A</v>
      </c>
      <c r="L9" s="162" t="e">
        <f t="shared" si="2"/>
        <v>#N/A</v>
      </c>
      <c r="M9" s="162" t="e">
        <f t="shared" si="3"/>
        <v>#N/A</v>
      </c>
      <c r="N9" s="162" t="e">
        <f t="shared" si="4"/>
        <v>#N/A</v>
      </c>
      <c r="O9" s="162" t="e">
        <f t="shared" si="5"/>
        <v>#N/A</v>
      </c>
      <c r="P9" s="112" t="e">
        <f t="shared" si="6"/>
        <v>#N/A</v>
      </c>
      <c r="Q9" s="178" t="e">
        <f t="shared" ref="Q9:Q31" si="39">SUM(R9:U9)</f>
        <v>#N/A</v>
      </c>
      <c r="R9" s="162" t="e">
        <f t="shared" si="7"/>
        <v>#N/A</v>
      </c>
      <c r="S9" s="162" t="e">
        <f t="shared" si="8"/>
        <v>#N/A</v>
      </c>
      <c r="T9" s="162" t="e">
        <f t="shared" si="9"/>
        <v>#N/A</v>
      </c>
      <c r="U9" s="162" t="e">
        <f t="shared" si="10"/>
        <v>#N/A</v>
      </c>
      <c r="V9" s="112" t="e">
        <f t="shared" si="11"/>
        <v>#N/A</v>
      </c>
      <c r="W9" s="178" t="e">
        <f t="shared" ref="W9:W31" si="40">SUM(X9:AA9)</f>
        <v>#N/A</v>
      </c>
      <c r="X9" s="162" t="e">
        <f t="shared" si="12"/>
        <v>#N/A</v>
      </c>
      <c r="Y9" s="162" t="e">
        <f t="shared" si="13"/>
        <v>#N/A</v>
      </c>
      <c r="Z9" s="162" t="e">
        <f t="shared" si="14"/>
        <v>#N/A</v>
      </c>
      <c r="AA9" s="162" t="e">
        <f t="shared" si="15"/>
        <v>#N/A</v>
      </c>
      <c r="AB9" s="112" t="e">
        <f t="shared" si="16"/>
        <v>#N/A</v>
      </c>
      <c r="AC9" s="178" t="e">
        <f t="shared" ref="AC9:AC31" si="41">SUM(AD9:AG9)</f>
        <v>#N/A</v>
      </c>
      <c r="AD9" s="162" t="e">
        <f t="shared" si="17"/>
        <v>#N/A</v>
      </c>
      <c r="AE9" s="162" t="e">
        <f t="shared" si="18"/>
        <v>#N/A</v>
      </c>
      <c r="AF9" s="162" t="e">
        <f t="shared" si="19"/>
        <v>#N/A</v>
      </c>
      <c r="AG9" s="162" t="e">
        <f t="shared" si="20"/>
        <v>#N/A</v>
      </c>
      <c r="AH9" s="162" t="e">
        <f t="shared" si="21"/>
        <v>#N/A</v>
      </c>
      <c r="AJ9" s="166" t="s">
        <v>270</v>
      </c>
      <c r="AK9" s="166" t="s">
        <v>270</v>
      </c>
      <c r="AL9" s="166" t="s">
        <v>270</v>
      </c>
      <c r="AM9" s="166" t="s">
        <v>270</v>
      </c>
      <c r="AN9" s="166" t="s">
        <v>270</v>
      </c>
      <c r="AO9" s="166" t="s">
        <v>270</v>
      </c>
      <c r="AP9" s="208" t="s">
        <v>270</v>
      </c>
      <c r="AQ9" s="162" t="e">
        <f t="shared" ref="AQ9:BF31" si="42">IF(RANK($C9,$C$8:$C$31)&gt;ABS(AQ$32),0,(AQ$32/ABS(AQ$32)))</f>
        <v>#N/A</v>
      </c>
      <c r="AR9" s="162" t="e">
        <f t="shared" si="42"/>
        <v>#N/A</v>
      </c>
      <c r="AS9" s="162" t="e">
        <f t="shared" si="42"/>
        <v>#N/A</v>
      </c>
      <c r="AT9" s="162" t="e">
        <f t="shared" si="42"/>
        <v>#N/A</v>
      </c>
      <c r="AU9" s="162" t="e">
        <f t="shared" si="42"/>
        <v>#N/A</v>
      </c>
      <c r="AV9" s="208" t="s">
        <v>270</v>
      </c>
      <c r="AW9" s="162" t="e">
        <f t="shared" si="42"/>
        <v>#N/A</v>
      </c>
      <c r="AX9" s="162" t="e">
        <f t="shared" si="42"/>
        <v>#N/A</v>
      </c>
      <c r="AY9" s="162" t="e">
        <f t="shared" si="42"/>
        <v>#N/A</v>
      </c>
      <c r="AZ9" s="162" t="e">
        <f t="shared" si="42"/>
        <v>#N/A</v>
      </c>
      <c r="BA9" s="162" t="e">
        <f t="shared" si="42"/>
        <v>#N/A</v>
      </c>
      <c r="BB9" s="208" t="s">
        <v>270</v>
      </c>
      <c r="BC9" s="162" t="e">
        <f t="shared" si="42"/>
        <v>#N/A</v>
      </c>
      <c r="BD9" s="162" t="e">
        <f t="shared" si="42"/>
        <v>#N/A</v>
      </c>
      <c r="BE9" s="162" t="e">
        <f t="shared" si="42"/>
        <v>#N/A</v>
      </c>
      <c r="BF9" s="162" t="e">
        <f t="shared" si="42"/>
        <v>#N/A</v>
      </c>
      <c r="BG9" s="162" t="e">
        <f t="shared" ref="BC9:BG31" si="43">IF(RANK($C9,$C$8:$C$31)&gt;ABS(BG$32),0,(BG$32/ABS(BG$32)))</f>
        <v>#N/A</v>
      </c>
      <c r="BH9" s="208" t="s">
        <v>270</v>
      </c>
      <c r="BI9" s="162" t="e">
        <f t="shared" ref="BI9:BM31" si="44">IF(RANK($C9,$C$8:$C$31)&gt;ABS(BI$32),0,(BI$32/ABS(BI$32)))</f>
        <v>#N/A</v>
      </c>
      <c r="BJ9" s="162" t="e">
        <f t="shared" si="44"/>
        <v>#N/A</v>
      </c>
      <c r="BK9" s="162" t="e">
        <f t="shared" si="44"/>
        <v>#N/A</v>
      </c>
      <c r="BL9" s="162" t="e">
        <f t="shared" si="44"/>
        <v>#N/A</v>
      </c>
      <c r="BM9" s="162" t="e">
        <f t="shared" si="44"/>
        <v>#N/A</v>
      </c>
      <c r="BO9" s="162" t="e">
        <f t="shared" ref="BO9:BO31" si="45">BU9+CA9+CG9+CM9</f>
        <v>#N/A</v>
      </c>
      <c r="BP9" s="162" t="e">
        <f t="shared" ref="BP9:BP31" si="46">BV9+CB9+CH9+CN9</f>
        <v>#N/A</v>
      </c>
      <c r="BQ9" s="162" t="e">
        <f t="shared" ref="BQ9:BQ31" si="47">BW9+CC9+CI9+CO9</f>
        <v>#N/A</v>
      </c>
      <c r="BR9" s="162" t="e">
        <f t="shared" ref="BR9:BR31" si="48">BX9+CD9+CJ9+CP9</f>
        <v>#N/A</v>
      </c>
      <c r="BS9" s="162" t="e">
        <f t="shared" ref="BS9:BS31" si="49">BY9+CE9+CK9+CQ9</f>
        <v>#N/A</v>
      </c>
      <c r="BT9" s="112" t="e">
        <f t="shared" ref="BT9:BT31" si="50">BZ9+CF9+CL9+CR9</f>
        <v>#N/A</v>
      </c>
      <c r="BU9" s="178" t="e">
        <f t="shared" ref="BU9:BU31" si="51">SUM(BV9:BY9)</f>
        <v>#N/A</v>
      </c>
      <c r="BV9" s="488" t="e">
        <f t="shared" ref="BV9:BV31" si="52">L9+AQ9</f>
        <v>#N/A</v>
      </c>
      <c r="BW9" s="488" t="e">
        <f t="shared" si="23"/>
        <v>#N/A</v>
      </c>
      <c r="BX9" s="488" t="e">
        <f t="shared" si="23"/>
        <v>#N/A</v>
      </c>
      <c r="BY9" s="488" t="e">
        <f t="shared" si="23"/>
        <v>#N/A</v>
      </c>
      <c r="BZ9" s="488" t="e">
        <f t="shared" si="23"/>
        <v>#N/A</v>
      </c>
      <c r="CA9" s="178" t="e">
        <f t="shared" ref="CA9:CA31" si="53">SUM(CB9:CE9)</f>
        <v>#N/A</v>
      </c>
      <c r="CB9" s="488" t="e">
        <f t="shared" ref="CB9:CB31" si="54">R9+AW9</f>
        <v>#N/A</v>
      </c>
      <c r="CC9" s="488" t="e">
        <f t="shared" si="24"/>
        <v>#N/A</v>
      </c>
      <c r="CD9" s="488" t="e">
        <f t="shared" si="25"/>
        <v>#N/A</v>
      </c>
      <c r="CE9" s="488" t="e">
        <f t="shared" si="26"/>
        <v>#N/A</v>
      </c>
      <c r="CF9" s="488" t="e">
        <f t="shared" si="27"/>
        <v>#N/A</v>
      </c>
      <c r="CG9" s="178" t="e">
        <f t="shared" ref="CG9:CG31" si="55">SUM(CH9:CK9)</f>
        <v>#N/A</v>
      </c>
      <c r="CH9" s="488" t="e">
        <f t="shared" ref="CH9:CH31" si="56">X9+BC9</f>
        <v>#N/A</v>
      </c>
      <c r="CI9" s="488" t="e">
        <f t="shared" si="28"/>
        <v>#N/A</v>
      </c>
      <c r="CJ9" s="488" t="e">
        <f t="shared" si="29"/>
        <v>#N/A</v>
      </c>
      <c r="CK9" s="488" t="e">
        <f t="shared" si="30"/>
        <v>#N/A</v>
      </c>
      <c r="CL9" s="488" t="e">
        <f t="shared" si="31"/>
        <v>#N/A</v>
      </c>
      <c r="CM9" s="178" t="e">
        <f t="shared" ref="CM9:CM31" si="57">SUM(CN9:CQ9)</f>
        <v>#N/A</v>
      </c>
      <c r="CN9" s="488" t="e">
        <f t="shared" ref="CN9:CN31" si="58">AD9+BI9</f>
        <v>#N/A</v>
      </c>
      <c r="CO9" s="488" t="e">
        <f t="shared" si="32"/>
        <v>#N/A</v>
      </c>
      <c r="CP9" s="488" t="e">
        <f t="shared" si="33"/>
        <v>#N/A</v>
      </c>
      <c r="CQ9" s="488" t="e">
        <f t="shared" si="34"/>
        <v>#N/A</v>
      </c>
      <c r="CR9" s="488" t="e">
        <f t="shared" si="35"/>
        <v>#N/A</v>
      </c>
      <c r="CS9" s="35"/>
      <c r="CT9" s="35"/>
      <c r="CU9" s="35"/>
      <c r="CV9" s="35"/>
    </row>
    <row r="10" spans="1:100" x14ac:dyDescent="0.25">
      <c r="A10" s="319"/>
      <c r="B10" s="152">
        <f t="shared" ref="B10:B31" si="59">ROUND(IF(B9+TIME(1,0,0)=1,TIME(0,0,0),IF(B9+TIME(1,0,0)&gt;1,B9+TIME(1,0,0)-1,B9+TIME(1,0,0))),13)</f>
        <v>8.3333333333399998E-2</v>
      </c>
      <c r="C10" s="205" t="e">
        <f t="shared" si="0"/>
        <v>#N/A</v>
      </c>
      <c r="D10" s="550" t="str">
        <f t="shared" si="36"/>
        <v>YES</v>
      </c>
      <c r="E10" s="178" t="e">
        <f t="shared" si="37"/>
        <v>#N/A</v>
      </c>
      <c r="F10" s="162" t="e">
        <f t="shared" si="37"/>
        <v>#N/A</v>
      </c>
      <c r="G10" s="162" t="e">
        <f t="shared" si="37"/>
        <v>#N/A</v>
      </c>
      <c r="H10" s="162" t="e">
        <f t="shared" si="37"/>
        <v>#N/A</v>
      </c>
      <c r="I10" s="162" t="e">
        <f t="shared" si="37"/>
        <v>#N/A</v>
      </c>
      <c r="J10" s="112" t="e">
        <f t="shared" si="37"/>
        <v>#N/A</v>
      </c>
      <c r="K10" s="160" t="e">
        <f t="shared" si="38"/>
        <v>#N/A</v>
      </c>
      <c r="L10" s="162" t="e">
        <f t="shared" si="2"/>
        <v>#N/A</v>
      </c>
      <c r="M10" s="162" t="e">
        <f t="shared" si="3"/>
        <v>#N/A</v>
      </c>
      <c r="N10" s="162" t="e">
        <f t="shared" si="4"/>
        <v>#N/A</v>
      </c>
      <c r="O10" s="162" t="e">
        <f t="shared" si="5"/>
        <v>#N/A</v>
      </c>
      <c r="P10" s="112" t="e">
        <f t="shared" si="6"/>
        <v>#N/A</v>
      </c>
      <c r="Q10" s="178" t="e">
        <f t="shared" si="39"/>
        <v>#N/A</v>
      </c>
      <c r="R10" s="162" t="e">
        <f t="shared" si="7"/>
        <v>#N/A</v>
      </c>
      <c r="S10" s="162" t="e">
        <f t="shared" si="8"/>
        <v>#N/A</v>
      </c>
      <c r="T10" s="162" t="e">
        <f t="shared" si="9"/>
        <v>#N/A</v>
      </c>
      <c r="U10" s="162" t="e">
        <f t="shared" si="10"/>
        <v>#N/A</v>
      </c>
      <c r="V10" s="112" t="e">
        <f t="shared" si="11"/>
        <v>#N/A</v>
      </c>
      <c r="W10" s="178" t="e">
        <f t="shared" si="40"/>
        <v>#N/A</v>
      </c>
      <c r="X10" s="162" t="e">
        <f t="shared" si="12"/>
        <v>#N/A</v>
      </c>
      <c r="Y10" s="162" t="e">
        <f t="shared" si="13"/>
        <v>#N/A</v>
      </c>
      <c r="Z10" s="162" t="e">
        <f t="shared" si="14"/>
        <v>#N/A</v>
      </c>
      <c r="AA10" s="162" t="e">
        <f t="shared" si="15"/>
        <v>#N/A</v>
      </c>
      <c r="AB10" s="112" t="e">
        <f t="shared" si="16"/>
        <v>#N/A</v>
      </c>
      <c r="AC10" s="178" t="e">
        <f t="shared" si="41"/>
        <v>#N/A</v>
      </c>
      <c r="AD10" s="162" t="e">
        <f t="shared" si="17"/>
        <v>#N/A</v>
      </c>
      <c r="AE10" s="162" t="e">
        <f t="shared" si="18"/>
        <v>#N/A</v>
      </c>
      <c r="AF10" s="162" t="e">
        <f t="shared" si="19"/>
        <v>#N/A</v>
      </c>
      <c r="AG10" s="162" t="e">
        <f t="shared" si="20"/>
        <v>#N/A</v>
      </c>
      <c r="AH10" s="162" t="e">
        <f t="shared" si="21"/>
        <v>#N/A</v>
      </c>
      <c r="AJ10" s="166" t="s">
        <v>270</v>
      </c>
      <c r="AK10" s="166" t="s">
        <v>270</v>
      </c>
      <c r="AL10" s="166" t="s">
        <v>270</v>
      </c>
      <c r="AM10" s="166" t="s">
        <v>270</v>
      </c>
      <c r="AN10" s="166" t="s">
        <v>270</v>
      </c>
      <c r="AO10" s="166" t="s">
        <v>270</v>
      </c>
      <c r="AP10" s="208" t="s">
        <v>270</v>
      </c>
      <c r="AQ10" s="162" t="e">
        <f t="shared" si="42"/>
        <v>#N/A</v>
      </c>
      <c r="AR10" s="162" t="e">
        <f t="shared" si="42"/>
        <v>#N/A</v>
      </c>
      <c r="AS10" s="162" t="e">
        <f t="shared" si="42"/>
        <v>#N/A</v>
      </c>
      <c r="AT10" s="162" t="e">
        <f t="shared" si="42"/>
        <v>#N/A</v>
      </c>
      <c r="AU10" s="162" t="e">
        <f t="shared" si="42"/>
        <v>#N/A</v>
      </c>
      <c r="AV10" s="208" t="s">
        <v>270</v>
      </c>
      <c r="AW10" s="162" t="e">
        <f t="shared" si="42"/>
        <v>#N/A</v>
      </c>
      <c r="AX10" s="162" t="e">
        <f t="shared" si="42"/>
        <v>#N/A</v>
      </c>
      <c r="AY10" s="162" t="e">
        <f t="shared" si="42"/>
        <v>#N/A</v>
      </c>
      <c r="AZ10" s="162" t="e">
        <f t="shared" si="42"/>
        <v>#N/A</v>
      </c>
      <c r="BA10" s="162" t="e">
        <f t="shared" si="42"/>
        <v>#N/A</v>
      </c>
      <c r="BB10" s="208" t="s">
        <v>270</v>
      </c>
      <c r="BC10" s="162" t="e">
        <f t="shared" si="43"/>
        <v>#N/A</v>
      </c>
      <c r="BD10" s="162" t="e">
        <f t="shared" si="43"/>
        <v>#N/A</v>
      </c>
      <c r="BE10" s="162" t="e">
        <f t="shared" si="43"/>
        <v>#N/A</v>
      </c>
      <c r="BF10" s="162" t="e">
        <f t="shared" si="43"/>
        <v>#N/A</v>
      </c>
      <c r="BG10" s="162" t="e">
        <f t="shared" si="43"/>
        <v>#N/A</v>
      </c>
      <c r="BH10" s="208" t="s">
        <v>270</v>
      </c>
      <c r="BI10" s="162" t="e">
        <f t="shared" si="44"/>
        <v>#N/A</v>
      </c>
      <c r="BJ10" s="162" t="e">
        <f t="shared" si="44"/>
        <v>#N/A</v>
      </c>
      <c r="BK10" s="162" t="e">
        <f t="shared" si="44"/>
        <v>#N/A</v>
      </c>
      <c r="BL10" s="162" t="e">
        <f t="shared" si="44"/>
        <v>#N/A</v>
      </c>
      <c r="BM10" s="162" t="e">
        <f t="shared" si="44"/>
        <v>#N/A</v>
      </c>
      <c r="BO10" s="162" t="e">
        <f t="shared" si="45"/>
        <v>#N/A</v>
      </c>
      <c r="BP10" s="162" t="e">
        <f t="shared" si="46"/>
        <v>#N/A</v>
      </c>
      <c r="BQ10" s="162" t="e">
        <f t="shared" si="47"/>
        <v>#N/A</v>
      </c>
      <c r="BR10" s="162" t="e">
        <f t="shared" si="48"/>
        <v>#N/A</v>
      </c>
      <c r="BS10" s="162" t="e">
        <f t="shared" si="49"/>
        <v>#N/A</v>
      </c>
      <c r="BT10" s="112" t="e">
        <f t="shared" si="50"/>
        <v>#N/A</v>
      </c>
      <c r="BU10" s="178" t="e">
        <f t="shared" si="51"/>
        <v>#N/A</v>
      </c>
      <c r="BV10" s="488" t="e">
        <f t="shared" si="52"/>
        <v>#N/A</v>
      </c>
      <c r="BW10" s="488" t="e">
        <f t="shared" si="23"/>
        <v>#N/A</v>
      </c>
      <c r="BX10" s="488" t="e">
        <f t="shared" si="23"/>
        <v>#N/A</v>
      </c>
      <c r="BY10" s="488" t="e">
        <f t="shared" si="23"/>
        <v>#N/A</v>
      </c>
      <c r="BZ10" s="488" t="e">
        <f t="shared" si="23"/>
        <v>#N/A</v>
      </c>
      <c r="CA10" s="178" t="e">
        <f t="shared" si="53"/>
        <v>#N/A</v>
      </c>
      <c r="CB10" s="488" t="e">
        <f t="shared" si="54"/>
        <v>#N/A</v>
      </c>
      <c r="CC10" s="488" t="e">
        <f t="shared" si="24"/>
        <v>#N/A</v>
      </c>
      <c r="CD10" s="488" t="e">
        <f t="shared" si="25"/>
        <v>#N/A</v>
      </c>
      <c r="CE10" s="488" t="e">
        <f t="shared" si="26"/>
        <v>#N/A</v>
      </c>
      <c r="CF10" s="488" t="e">
        <f t="shared" si="27"/>
        <v>#N/A</v>
      </c>
      <c r="CG10" s="178" t="e">
        <f t="shared" si="55"/>
        <v>#N/A</v>
      </c>
      <c r="CH10" s="488" t="e">
        <f t="shared" si="56"/>
        <v>#N/A</v>
      </c>
      <c r="CI10" s="488" t="e">
        <f t="shared" si="28"/>
        <v>#N/A</v>
      </c>
      <c r="CJ10" s="488" t="e">
        <f t="shared" si="29"/>
        <v>#N/A</v>
      </c>
      <c r="CK10" s="488" t="e">
        <f t="shared" si="30"/>
        <v>#N/A</v>
      </c>
      <c r="CL10" s="488" t="e">
        <f t="shared" si="31"/>
        <v>#N/A</v>
      </c>
      <c r="CM10" s="178" t="e">
        <f t="shared" si="57"/>
        <v>#N/A</v>
      </c>
      <c r="CN10" s="488" t="e">
        <f t="shared" si="58"/>
        <v>#N/A</v>
      </c>
      <c r="CO10" s="488" t="e">
        <f t="shared" si="32"/>
        <v>#N/A</v>
      </c>
      <c r="CP10" s="488" t="e">
        <f t="shared" si="33"/>
        <v>#N/A</v>
      </c>
      <c r="CQ10" s="488" t="e">
        <f t="shared" si="34"/>
        <v>#N/A</v>
      </c>
      <c r="CR10" s="488" t="e">
        <f t="shared" si="35"/>
        <v>#N/A</v>
      </c>
      <c r="CS10" s="35"/>
      <c r="CT10" s="35"/>
      <c r="CU10" s="35"/>
      <c r="CV10" s="35"/>
    </row>
    <row r="11" spans="1:100" x14ac:dyDescent="0.25">
      <c r="A11" s="319"/>
      <c r="B11" s="152">
        <f t="shared" si="59"/>
        <v>0.1250000000001</v>
      </c>
      <c r="C11" s="205" t="e">
        <f t="shared" si="0"/>
        <v>#N/A</v>
      </c>
      <c r="D11" s="550" t="str">
        <f t="shared" si="36"/>
        <v>YES</v>
      </c>
      <c r="E11" s="178" t="e">
        <f t="shared" si="37"/>
        <v>#N/A</v>
      </c>
      <c r="F11" s="162" t="e">
        <f t="shared" si="37"/>
        <v>#N/A</v>
      </c>
      <c r="G11" s="162" t="e">
        <f t="shared" si="37"/>
        <v>#N/A</v>
      </c>
      <c r="H11" s="162" t="e">
        <f t="shared" si="37"/>
        <v>#N/A</v>
      </c>
      <c r="I11" s="162" t="e">
        <f t="shared" si="37"/>
        <v>#N/A</v>
      </c>
      <c r="J11" s="112" t="e">
        <f t="shared" si="37"/>
        <v>#N/A</v>
      </c>
      <c r="K11" s="160" t="e">
        <f t="shared" si="38"/>
        <v>#N/A</v>
      </c>
      <c r="L11" s="162" t="e">
        <f t="shared" si="2"/>
        <v>#N/A</v>
      </c>
      <c r="M11" s="162" t="e">
        <f t="shared" si="3"/>
        <v>#N/A</v>
      </c>
      <c r="N11" s="162" t="e">
        <f t="shared" si="4"/>
        <v>#N/A</v>
      </c>
      <c r="O11" s="162" t="e">
        <f t="shared" si="5"/>
        <v>#N/A</v>
      </c>
      <c r="P11" s="112" t="e">
        <f t="shared" si="6"/>
        <v>#N/A</v>
      </c>
      <c r="Q11" s="178" t="e">
        <f t="shared" si="39"/>
        <v>#N/A</v>
      </c>
      <c r="R11" s="162" t="e">
        <f t="shared" si="7"/>
        <v>#N/A</v>
      </c>
      <c r="S11" s="162" t="e">
        <f t="shared" si="8"/>
        <v>#N/A</v>
      </c>
      <c r="T11" s="162" t="e">
        <f t="shared" si="9"/>
        <v>#N/A</v>
      </c>
      <c r="U11" s="162" t="e">
        <f t="shared" si="10"/>
        <v>#N/A</v>
      </c>
      <c r="V11" s="112" t="e">
        <f t="shared" si="11"/>
        <v>#N/A</v>
      </c>
      <c r="W11" s="178" t="e">
        <f t="shared" si="40"/>
        <v>#N/A</v>
      </c>
      <c r="X11" s="162" t="e">
        <f t="shared" si="12"/>
        <v>#N/A</v>
      </c>
      <c r="Y11" s="162" t="e">
        <f t="shared" si="13"/>
        <v>#N/A</v>
      </c>
      <c r="Z11" s="162" t="e">
        <f t="shared" si="14"/>
        <v>#N/A</v>
      </c>
      <c r="AA11" s="162" t="e">
        <f t="shared" si="15"/>
        <v>#N/A</v>
      </c>
      <c r="AB11" s="112" t="e">
        <f t="shared" si="16"/>
        <v>#N/A</v>
      </c>
      <c r="AC11" s="178" t="e">
        <f t="shared" si="41"/>
        <v>#N/A</v>
      </c>
      <c r="AD11" s="162" t="e">
        <f t="shared" si="17"/>
        <v>#N/A</v>
      </c>
      <c r="AE11" s="162" t="e">
        <f t="shared" si="18"/>
        <v>#N/A</v>
      </c>
      <c r="AF11" s="162" t="e">
        <f t="shared" si="19"/>
        <v>#N/A</v>
      </c>
      <c r="AG11" s="162" t="e">
        <f t="shared" si="20"/>
        <v>#N/A</v>
      </c>
      <c r="AH11" s="162" t="e">
        <f t="shared" si="21"/>
        <v>#N/A</v>
      </c>
      <c r="AJ11" s="166" t="s">
        <v>270</v>
      </c>
      <c r="AK11" s="166" t="s">
        <v>270</v>
      </c>
      <c r="AL11" s="166" t="s">
        <v>270</v>
      </c>
      <c r="AM11" s="166" t="s">
        <v>270</v>
      </c>
      <c r="AN11" s="166" t="s">
        <v>270</v>
      </c>
      <c r="AO11" s="166" t="s">
        <v>270</v>
      </c>
      <c r="AP11" s="208" t="s">
        <v>270</v>
      </c>
      <c r="AQ11" s="162" t="e">
        <f t="shared" si="42"/>
        <v>#N/A</v>
      </c>
      <c r="AR11" s="162" t="e">
        <f t="shared" si="42"/>
        <v>#N/A</v>
      </c>
      <c r="AS11" s="162" t="e">
        <f t="shared" si="42"/>
        <v>#N/A</v>
      </c>
      <c r="AT11" s="162" t="e">
        <f t="shared" si="42"/>
        <v>#N/A</v>
      </c>
      <c r="AU11" s="162" t="e">
        <f t="shared" si="42"/>
        <v>#N/A</v>
      </c>
      <c r="AV11" s="208" t="s">
        <v>270</v>
      </c>
      <c r="AW11" s="162" t="e">
        <f t="shared" si="42"/>
        <v>#N/A</v>
      </c>
      <c r="AX11" s="162" t="e">
        <f t="shared" si="42"/>
        <v>#N/A</v>
      </c>
      <c r="AY11" s="162" t="e">
        <f t="shared" si="42"/>
        <v>#N/A</v>
      </c>
      <c r="AZ11" s="162" t="e">
        <f t="shared" si="42"/>
        <v>#N/A</v>
      </c>
      <c r="BA11" s="162" t="e">
        <f t="shared" si="42"/>
        <v>#N/A</v>
      </c>
      <c r="BB11" s="208" t="s">
        <v>270</v>
      </c>
      <c r="BC11" s="162" t="e">
        <f t="shared" si="43"/>
        <v>#N/A</v>
      </c>
      <c r="BD11" s="162" t="e">
        <f t="shared" si="43"/>
        <v>#N/A</v>
      </c>
      <c r="BE11" s="162" t="e">
        <f t="shared" si="43"/>
        <v>#N/A</v>
      </c>
      <c r="BF11" s="162" t="e">
        <f t="shared" si="43"/>
        <v>#N/A</v>
      </c>
      <c r="BG11" s="162" t="e">
        <f t="shared" si="43"/>
        <v>#N/A</v>
      </c>
      <c r="BH11" s="208" t="s">
        <v>270</v>
      </c>
      <c r="BI11" s="162" t="e">
        <f t="shared" si="44"/>
        <v>#N/A</v>
      </c>
      <c r="BJ11" s="162" t="e">
        <f t="shared" si="44"/>
        <v>#N/A</v>
      </c>
      <c r="BK11" s="162" t="e">
        <f t="shared" si="44"/>
        <v>#N/A</v>
      </c>
      <c r="BL11" s="162" t="e">
        <f t="shared" si="44"/>
        <v>#N/A</v>
      </c>
      <c r="BM11" s="162" t="e">
        <f t="shared" si="44"/>
        <v>#N/A</v>
      </c>
      <c r="BO11" s="162" t="e">
        <f t="shared" si="45"/>
        <v>#N/A</v>
      </c>
      <c r="BP11" s="162" t="e">
        <f t="shared" si="46"/>
        <v>#N/A</v>
      </c>
      <c r="BQ11" s="162" t="e">
        <f t="shared" si="47"/>
        <v>#N/A</v>
      </c>
      <c r="BR11" s="162" t="e">
        <f t="shared" si="48"/>
        <v>#N/A</v>
      </c>
      <c r="BS11" s="162" t="e">
        <f t="shared" si="49"/>
        <v>#N/A</v>
      </c>
      <c r="BT11" s="112" t="e">
        <f t="shared" si="50"/>
        <v>#N/A</v>
      </c>
      <c r="BU11" s="178" t="e">
        <f t="shared" si="51"/>
        <v>#N/A</v>
      </c>
      <c r="BV11" s="488" t="e">
        <f t="shared" si="52"/>
        <v>#N/A</v>
      </c>
      <c r="BW11" s="488" t="e">
        <f t="shared" si="23"/>
        <v>#N/A</v>
      </c>
      <c r="BX11" s="488" t="e">
        <f t="shared" si="23"/>
        <v>#N/A</v>
      </c>
      <c r="BY11" s="488" t="e">
        <f t="shared" si="23"/>
        <v>#N/A</v>
      </c>
      <c r="BZ11" s="488" t="e">
        <f t="shared" si="23"/>
        <v>#N/A</v>
      </c>
      <c r="CA11" s="178" t="e">
        <f t="shared" si="53"/>
        <v>#N/A</v>
      </c>
      <c r="CB11" s="488" t="e">
        <f t="shared" si="54"/>
        <v>#N/A</v>
      </c>
      <c r="CC11" s="488" t="e">
        <f t="shared" si="24"/>
        <v>#N/A</v>
      </c>
      <c r="CD11" s="488" t="e">
        <f t="shared" si="25"/>
        <v>#N/A</v>
      </c>
      <c r="CE11" s="488" t="e">
        <f t="shared" si="26"/>
        <v>#N/A</v>
      </c>
      <c r="CF11" s="488" t="e">
        <f t="shared" si="27"/>
        <v>#N/A</v>
      </c>
      <c r="CG11" s="178" t="e">
        <f t="shared" si="55"/>
        <v>#N/A</v>
      </c>
      <c r="CH11" s="488" t="e">
        <f t="shared" si="56"/>
        <v>#N/A</v>
      </c>
      <c r="CI11" s="488" t="e">
        <f t="shared" si="28"/>
        <v>#N/A</v>
      </c>
      <c r="CJ11" s="488" t="e">
        <f t="shared" si="29"/>
        <v>#N/A</v>
      </c>
      <c r="CK11" s="488" t="e">
        <f t="shared" si="30"/>
        <v>#N/A</v>
      </c>
      <c r="CL11" s="488" t="e">
        <f t="shared" si="31"/>
        <v>#N/A</v>
      </c>
      <c r="CM11" s="178" t="e">
        <f t="shared" si="57"/>
        <v>#N/A</v>
      </c>
      <c r="CN11" s="488" t="e">
        <f t="shared" si="58"/>
        <v>#N/A</v>
      </c>
      <c r="CO11" s="488" t="e">
        <f t="shared" si="32"/>
        <v>#N/A</v>
      </c>
      <c r="CP11" s="488" t="e">
        <f t="shared" si="33"/>
        <v>#N/A</v>
      </c>
      <c r="CQ11" s="488" t="e">
        <f t="shared" si="34"/>
        <v>#N/A</v>
      </c>
      <c r="CR11" s="488" t="e">
        <f t="shared" si="35"/>
        <v>#N/A</v>
      </c>
      <c r="CS11" s="35"/>
      <c r="CT11" s="35"/>
      <c r="CU11" s="35"/>
      <c r="CV11" s="35"/>
    </row>
    <row r="12" spans="1:100" x14ac:dyDescent="0.25">
      <c r="A12" s="319"/>
      <c r="B12" s="152">
        <f t="shared" si="59"/>
        <v>0.1666666666668</v>
      </c>
      <c r="C12" s="205" t="e">
        <f t="shared" si="0"/>
        <v>#N/A</v>
      </c>
      <c r="D12" s="550" t="str">
        <f t="shared" si="36"/>
        <v>YES</v>
      </c>
      <c r="E12" s="178" t="e">
        <f t="shared" si="37"/>
        <v>#N/A</v>
      </c>
      <c r="F12" s="162" t="e">
        <f t="shared" si="37"/>
        <v>#N/A</v>
      </c>
      <c r="G12" s="162" t="e">
        <f t="shared" si="37"/>
        <v>#N/A</v>
      </c>
      <c r="H12" s="162" t="e">
        <f t="shared" si="37"/>
        <v>#N/A</v>
      </c>
      <c r="I12" s="162" t="e">
        <f t="shared" si="37"/>
        <v>#N/A</v>
      </c>
      <c r="J12" s="112" t="e">
        <f t="shared" si="37"/>
        <v>#N/A</v>
      </c>
      <c r="K12" s="160" t="e">
        <f t="shared" si="38"/>
        <v>#N/A</v>
      </c>
      <c r="L12" s="162" t="e">
        <f t="shared" si="2"/>
        <v>#N/A</v>
      </c>
      <c r="M12" s="162" t="e">
        <f t="shared" si="3"/>
        <v>#N/A</v>
      </c>
      <c r="N12" s="162" t="e">
        <f t="shared" si="4"/>
        <v>#N/A</v>
      </c>
      <c r="O12" s="162" t="e">
        <f t="shared" si="5"/>
        <v>#N/A</v>
      </c>
      <c r="P12" s="112" t="e">
        <f t="shared" si="6"/>
        <v>#N/A</v>
      </c>
      <c r="Q12" s="178" t="e">
        <f t="shared" si="39"/>
        <v>#N/A</v>
      </c>
      <c r="R12" s="162" t="e">
        <f t="shared" si="7"/>
        <v>#N/A</v>
      </c>
      <c r="S12" s="162" t="e">
        <f t="shared" si="8"/>
        <v>#N/A</v>
      </c>
      <c r="T12" s="162" t="e">
        <f t="shared" si="9"/>
        <v>#N/A</v>
      </c>
      <c r="U12" s="162" t="e">
        <f t="shared" si="10"/>
        <v>#N/A</v>
      </c>
      <c r="V12" s="112" t="e">
        <f t="shared" si="11"/>
        <v>#N/A</v>
      </c>
      <c r="W12" s="178" t="e">
        <f t="shared" si="40"/>
        <v>#N/A</v>
      </c>
      <c r="X12" s="162" t="e">
        <f t="shared" si="12"/>
        <v>#N/A</v>
      </c>
      <c r="Y12" s="162" t="e">
        <f t="shared" si="13"/>
        <v>#N/A</v>
      </c>
      <c r="Z12" s="162" t="e">
        <f t="shared" si="14"/>
        <v>#N/A</v>
      </c>
      <c r="AA12" s="162" t="e">
        <f t="shared" si="15"/>
        <v>#N/A</v>
      </c>
      <c r="AB12" s="112" t="e">
        <f t="shared" si="16"/>
        <v>#N/A</v>
      </c>
      <c r="AC12" s="178" t="e">
        <f t="shared" si="41"/>
        <v>#N/A</v>
      </c>
      <c r="AD12" s="162" t="e">
        <f t="shared" si="17"/>
        <v>#N/A</v>
      </c>
      <c r="AE12" s="162" t="e">
        <f t="shared" si="18"/>
        <v>#N/A</v>
      </c>
      <c r="AF12" s="162" t="e">
        <f t="shared" si="19"/>
        <v>#N/A</v>
      </c>
      <c r="AG12" s="162" t="e">
        <f t="shared" si="20"/>
        <v>#N/A</v>
      </c>
      <c r="AH12" s="162" t="e">
        <f t="shared" si="21"/>
        <v>#N/A</v>
      </c>
      <c r="AJ12" s="166" t="s">
        <v>270</v>
      </c>
      <c r="AK12" s="166" t="s">
        <v>270</v>
      </c>
      <c r="AL12" s="166" t="s">
        <v>270</v>
      </c>
      <c r="AM12" s="166" t="s">
        <v>270</v>
      </c>
      <c r="AN12" s="166" t="s">
        <v>270</v>
      </c>
      <c r="AO12" s="166" t="s">
        <v>270</v>
      </c>
      <c r="AP12" s="208" t="s">
        <v>270</v>
      </c>
      <c r="AQ12" s="162" t="e">
        <f t="shared" si="42"/>
        <v>#N/A</v>
      </c>
      <c r="AR12" s="162" t="e">
        <f t="shared" si="42"/>
        <v>#N/A</v>
      </c>
      <c r="AS12" s="162" t="e">
        <f t="shared" si="42"/>
        <v>#N/A</v>
      </c>
      <c r="AT12" s="162" t="e">
        <f t="shared" si="42"/>
        <v>#N/A</v>
      </c>
      <c r="AU12" s="162" t="e">
        <f t="shared" si="42"/>
        <v>#N/A</v>
      </c>
      <c r="AV12" s="208" t="s">
        <v>270</v>
      </c>
      <c r="AW12" s="162" t="e">
        <f t="shared" si="42"/>
        <v>#N/A</v>
      </c>
      <c r="AX12" s="162" t="e">
        <f t="shared" si="42"/>
        <v>#N/A</v>
      </c>
      <c r="AY12" s="162" t="e">
        <f t="shared" si="42"/>
        <v>#N/A</v>
      </c>
      <c r="AZ12" s="162" t="e">
        <f t="shared" si="42"/>
        <v>#N/A</v>
      </c>
      <c r="BA12" s="162" t="e">
        <f t="shared" si="42"/>
        <v>#N/A</v>
      </c>
      <c r="BB12" s="208" t="s">
        <v>270</v>
      </c>
      <c r="BC12" s="162" t="e">
        <f t="shared" si="43"/>
        <v>#N/A</v>
      </c>
      <c r="BD12" s="162" t="e">
        <f t="shared" si="43"/>
        <v>#N/A</v>
      </c>
      <c r="BE12" s="162" t="e">
        <f t="shared" si="43"/>
        <v>#N/A</v>
      </c>
      <c r="BF12" s="162" t="e">
        <f t="shared" si="43"/>
        <v>#N/A</v>
      </c>
      <c r="BG12" s="162" t="e">
        <f t="shared" si="43"/>
        <v>#N/A</v>
      </c>
      <c r="BH12" s="208" t="s">
        <v>270</v>
      </c>
      <c r="BI12" s="162" t="e">
        <f t="shared" si="44"/>
        <v>#N/A</v>
      </c>
      <c r="BJ12" s="162" t="e">
        <f t="shared" si="44"/>
        <v>#N/A</v>
      </c>
      <c r="BK12" s="162" t="e">
        <f t="shared" si="44"/>
        <v>#N/A</v>
      </c>
      <c r="BL12" s="162" t="e">
        <f t="shared" si="44"/>
        <v>#N/A</v>
      </c>
      <c r="BM12" s="162" t="e">
        <f t="shared" si="44"/>
        <v>#N/A</v>
      </c>
      <c r="BO12" s="162" t="e">
        <f t="shared" si="45"/>
        <v>#N/A</v>
      </c>
      <c r="BP12" s="162" t="e">
        <f t="shared" si="46"/>
        <v>#N/A</v>
      </c>
      <c r="BQ12" s="162" t="e">
        <f t="shared" si="47"/>
        <v>#N/A</v>
      </c>
      <c r="BR12" s="162" t="e">
        <f t="shared" si="48"/>
        <v>#N/A</v>
      </c>
      <c r="BS12" s="162" t="e">
        <f t="shared" si="49"/>
        <v>#N/A</v>
      </c>
      <c r="BT12" s="112" t="e">
        <f t="shared" si="50"/>
        <v>#N/A</v>
      </c>
      <c r="BU12" s="178" t="e">
        <f t="shared" si="51"/>
        <v>#N/A</v>
      </c>
      <c r="BV12" s="488" t="e">
        <f t="shared" si="52"/>
        <v>#N/A</v>
      </c>
      <c r="BW12" s="488" t="e">
        <f t="shared" si="23"/>
        <v>#N/A</v>
      </c>
      <c r="BX12" s="488" t="e">
        <f t="shared" si="23"/>
        <v>#N/A</v>
      </c>
      <c r="BY12" s="488" t="e">
        <f t="shared" si="23"/>
        <v>#N/A</v>
      </c>
      <c r="BZ12" s="488" t="e">
        <f t="shared" si="23"/>
        <v>#N/A</v>
      </c>
      <c r="CA12" s="178" t="e">
        <f t="shared" si="53"/>
        <v>#N/A</v>
      </c>
      <c r="CB12" s="488" t="e">
        <f t="shared" si="54"/>
        <v>#N/A</v>
      </c>
      <c r="CC12" s="488" t="e">
        <f t="shared" si="24"/>
        <v>#N/A</v>
      </c>
      <c r="CD12" s="488" t="e">
        <f t="shared" si="25"/>
        <v>#N/A</v>
      </c>
      <c r="CE12" s="488" t="e">
        <f t="shared" si="26"/>
        <v>#N/A</v>
      </c>
      <c r="CF12" s="488" t="e">
        <f t="shared" si="27"/>
        <v>#N/A</v>
      </c>
      <c r="CG12" s="178" t="e">
        <f t="shared" si="55"/>
        <v>#N/A</v>
      </c>
      <c r="CH12" s="488" t="e">
        <f t="shared" si="56"/>
        <v>#N/A</v>
      </c>
      <c r="CI12" s="488" t="e">
        <f t="shared" si="28"/>
        <v>#N/A</v>
      </c>
      <c r="CJ12" s="488" t="e">
        <f t="shared" si="29"/>
        <v>#N/A</v>
      </c>
      <c r="CK12" s="488" t="e">
        <f t="shared" si="30"/>
        <v>#N/A</v>
      </c>
      <c r="CL12" s="488" t="e">
        <f t="shared" si="31"/>
        <v>#N/A</v>
      </c>
      <c r="CM12" s="178" t="e">
        <f t="shared" si="57"/>
        <v>#N/A</v>
      </c>
      <c r="CN12" s="488" t="e">
        <f t="shared" si="58"/>
        <v>#N/A</v>
      </c>
      <c r="CO12" s="488" t="e">
        <f t="shared" si="32"/>
        <v>#N/A</v>
      </c>
      <c r="CP12" s="488" t="e">
        <f t="shared" si="33"/>
        <v>#N/A</v>
      </c>
      <c r="CQ12" s="488" t="e">
        <f t="shared" si="34"/>
        <v>#N/A</v>
      </c>
      <c r="CR12" s="488" t="e">
        <f t="shared" si="35"/>
        <v>#N/A</v>
      </c>
      <c r="CS12" s="35"/>
      <c r="CT12" s="35"/>
      <c r="CU12" s="35"/>
      <c r="CV12" s="35"/>
    </row>
    <row r="13" spans="1:100" x14ac:dyDescent="0.25">
      <c r="A13" s="319"/>
      <c r="B13" s="152">
        <f t="shared" si="59"/>
        <v>0.20833333333349999</v>
      </c>
      <c r="C13" s="205" t="e">
        <f t="shared" si="0"/>
        <v>#N/A</v>
      </c>
      <c r="D13" s="550" t="str">
        <f t="shared" si="36"/>
        <v>YES</v>
      </c>
      <c r="E13" s="178" t="e">
        <f t="shared" si="37"/>
        <v>#N/A</v>
      </c>
      <c r="F13" s="162" t="e">
        <f t="shared" si="37"/>
        <v>#N/A</v>
      </c>
      <c r="G13" s="162" t="e">
        <f t="shared" si="37"/>
        <v>#N/A</v>
      </c>
      <c r="H13" s="162" t="e">
        <f t="shared" si="37"/>
        <v>#N/A</v>
      </c>
      <c r="I13" s="162" t="e">
        <f t="shared" si="37"/>
        <v>#N/A</v>
      </c>
      <c r="J13" s="112" t="e">
        <f t="shared" si="37"/>
        <v>#N/A</v>
      </c>
      <c r="K13" s="160" t="e">
        <f t="shared" si="38"/>
        <v>#N/A</v>
      </c>
      <c r="L13" s="162" t="e">
        <f t="shared" si="2"/>
        <v>#N/A</v>
      </c>
      <c r="M13" s="162" t="e">
        <f t="shared" si="3"/>
        <v>#N/A</v>
      </c>
      <c r="N13" s="162" t="e">
        <f t="shared" si="4"/>
        <v>#N/A</v>
      </c>
      <c r="O13" s="162" t="e">
        <f t="shared" si="5"/>
        <v>#N/A</v>
      </c>
      <c r="P13" s="112" t="e">
        <f t="shared" si="6"/>
        <v>#N/A</v>
      </c>
      <c r="Q13" s="178" t="e">
        <f t="shared" si="39"/>
        <v>#N/A</v>
      </c>
      <c r="R13" s="162" t="e">
        <f t="shared" si="7"/>
        <v>#N/A</v>
      </c>
      <c r="S13" s="162" t="e">
        <f t="shared" si="8"/>
        <v>#N/A</v>
      </c>
      <c r="T13" s="162" t="e">
        <f t="shared" si="9"/>
        <v>#N/A</v>
      </c>
      <c r="U13" s="162" t="e">
        <f t="shared" si="10"/>
        <v>#N/A</v>
      </c>
      <c r="V13" s="112" t="e">
        <f t="shared" si="11"/>
        <v>#N/A</v>
      </c>
      <c r="W13" s="178" t="e">
        <f t="shared" si="40"/>
        <v>#N/A</v>
      </c>
      <c r="X13" s="162" t="e">
        <f t="shared" si="12"/>
        <v>#N/A</v>
      </c>
      <c r="Y13" s="162" t="e">
        <f t="shared" si="13"/>
        <v>#N/A</v>
      </c>
      <c r="Z13" s="162" t="e">
        <f t="shared" si="14"/>
        <v>#N/A</v>
      </c>
      <c r="AA13" s="162" t="e">
        <f t="shared" si="15"/>
        <v>#N/A</v>
      </c>
      <c r="AB13" s="112" t="e">
        <f t="shared" si="16"/>
        <v>#N/A</v>
      </c>
      <c r="AC13" s="178" t="e">
        <f t="shared" si="41"/>
        <v>#N/A</v>
      </c>
      <c r="AD13" s="162" t="e">
        <f t="shared" si="17"/>
        <v>#N/A</v>
      </c>
      <c r="AE13" s="162" t="e">
        <f t="shared" si="18"/>
        <v>#N/A</v>
      </c>
      <c r="AF13" s="162" t="e">
        <f t="shared" si="19"/>
        <v>#N/A</v>
      </c>
      <c r="AG13" s="162" t="e">
        <f t="shared" si="20"/>
        <v>#N/A</v>
      </c>
      <c r="AH13" s="162" t="e">
        <f t="shared" si="21"/>
        <v>#N/A</v>
      </c>
      <c r="AJ13" s="166" t="s">
        <v>270</v>
      </c>
      <c r="AK13" s="166" t="s">
        <v>270</v>
      </c>
      <c r="AL13" s="166" t="s">
        <v>270</v>
      </c>
      <c r="AM13" s="166" t="s">
        <v>270</v>
      </c>
      <c r="AN13" s="166" t="s">
        <v>270</v>
      </c>
      <c r="AO13" s="166" t="s">
        <v>270</v>
      </c>
      <c r="AP13" s="208" t="s">
        <v>270</v>
      </c>
      <c r="AQ13" s="162" t="e">
        <f t="shared" si="42"/>
        <v>#N/A</v>
      </c>
      <c r="AR13" s="162" t="e">
        <f t="shared" si="42"/>
        <v>#N/A</v>
      </c>
      <c r="AS13" s="162" t="e">
        <f t="shared" si="42"/>
        <v>#N/A</v>
      </c>
      <c r="AT13" s="162" t="e">
        <f t="shared" si="42"/>
        <v>#N/A</v>
      </c>
      <c r="AU13" s="162" t="e">
        <f t="shared" si="42"/>
        <v>#N/A</v>
      </c>
      <c r="AV13" s="208" t="s">
        <v>270</v>
      </c>
      <c r="AW13" s="162" t="e">
        <f t="shared" si="42"/>
        <v>#N/A</v>
      </c>
      <c r="AX13" s="162" t="e">
        <f t="shared" si="42"/>
        <v>#N/A</v>
      </c>
      <c r="AY13" s="162" t="e">
        <f t="shared" si="42"/>
        <v>#N/A</v>
      </c>
      <c r="AZ13" s="162" t="e">
        <f t="shared" si="42"/>
        <v>#N/A</v>
      </c>
      <c r="BA13" s="162" t="e">
        <f t="shared" si="42"/>
        <v>#N/A</v>
      </c>
      <c r="BB13" s="208" t="s">
        <v>270</v>
      </c>
      <c r="BC13" s="162" t="e">
        <f t="shared" si="43"/>
        <v>#N/A</v>
      </c>
      <c r="BD13" s="162" t="e">
        <f t="shared" si="43"/>
        <v>#N/A</v>
      </c>
      <c r="BE13" s="162" t="e">
        <f t="shared" si="43"/>
        <v>#N/A</v>
      </c>
      <c r="BF13" s="162" t="e">
        <f t="shared" si="43"/>
        <v>#N/A</v>
      </c>
      <c r="BG13" s="162" t="e">
        <f t="shared" si="43"/>
        <v>#N/A</v>
      </c>
      <c r="BH13" s="208" t="s">
        <v>270</v>
      </c>
      <c r="BI13" s="162" t="e">
        <f t="shared" si="44"/>
        <v>#N/A</v>
      </c>
      <c r="BJ13" s="162" t="e">
        <f t="shared" si="44"/>
        <v>#N/A</v>
      </c>
      <c r="BK13" s="162" t="e">
        <f t="shared" si="44"/>
        <v>#N/A</v>
      </c>
      <c r="BL13" s="162" t="e">
        <f t="shared" si="44"/>
        <v>#N/A</v>
      </c>
      <c r="BM13" s="162" t="e">
        <f t="shared" si="44"/>
        <v>#N/A</v>
      </c>
      <c r="BO13" s="162" t="e">
        <f t="shared" si="45"/>
        <v>#N/A</v>
      </c>
      <c r="BP13" s="162" t="e">
        <f t="shared" si="46"/>
        <v>#N/A</v>
      </c>
      <c r="BQ13" s="162" t="e">
        <f t="shared" si="47"/>
        <v>#N/A</v>
      </c>
      <c r="BR13" s="162" t="e">
        <f t="shared" si="48"/>
        <v>#N/A</v>
      </c>
      <c r="BS13" s="162" t="e">
        <f t="shared" si="49"/>
        <v>#N/A</v>
      </c>
      <c r="BT13" s="112" t="e">
        <f t="shared" si="50"/>
        <v>#N/A</v>
      </c>
      <c r="BU13" s="178" t="e">
        <f t="shared" si="51"/>
        <v>#N/A</v>
      </c>
      <c r="BV13" s="488" t="e">
        <f t="shared" si="52"/>
        <v>#N/A</v>
      </c>
      <c r="BW13" s="488" t="e">
        <f t="shared" si="23"/>
        <v>#N/A</v>
      </c>
      <c r="BX13" s="488" t="e">
        <f t="shared" si="23"/>
        <v>#N/A</v>
      </c>
      <c r="BY13" s="488" t="e">
        <f t="shared" si="23"/>
        <v>#N/A</v>
      </c>
      <c r="BZ13" s="488" t="e">
        <f t="shared" si="23"/>
        <v>#N/A</v>
      </c>
      <c r="CA13" s="178" t="e">
        <f t="shared" si="53"/>
        <v>#N/A</v>
      </c>
      <c r="CB13" s="488" t="e">
        <f t="shared" si="54"/>
        <v>#N/A</v>
      </c>
      <c r="CC13" s="488" t="e">
        <f t="shared" si="24"/>
        <v>#N/A</v>
      </c>
      <c r="CD13" s="488" t="e">
        <f t="shared" si="25"/>
        <v>#N/A</v>
      </c>
      <c r="CE13" s="488" t="e">
        <f t="shared" si="26"/>
        <v>#N/A</v>
      </c>
      <c r="CF13" s="488" t="e">
        <f t="shared" si="27"/>
        <v>#N/A</v>
      </c>
      <c r="CG13" s="178" t="e">
        <f t="shared" si="55"/>
        <v>#N/A</v>
      </c>
      <c r="CH13" s="488" t="e">
        <f t="shared" si="56"/>
        <v>#N/A</v>
      </c>
      <c r="CI13" s="488" t="e">
        <f t="shared" si="28"/>
        <v>#N/A</v>
      </c>
      <c r="CJ13" s="488" t="e">
        <f t="shared" si="29"/>
        <v>#N/A</v>
      </c>
      <c r="CK13" s="488" t="e">
        <f t="shared" si="30"/>
        <v>#N/A</v>
      </c>
      <c r="CL13" s="488" t="e">
        <f t="shared" si="31"/>
        <v>#N/A</v>
      </c>
      <c r="CM13" s="178" t="e">
        <f t="shared" si="57"/>
        <v>#N/A</v>
      </c>
      <c r="CN13" s="488" t="e">
        <f t="shared" si="58"/>
        <v>#N/A</v>
      </c>
      <c r="CO13" s="488" t="e">
        <f t="shared" si="32"/>
        <v>#N/A</v>
      </c>
      <c r="CP13" s="488" t="e">
        <f t="shared" si="33"/>
        <v>#N/A</v>
      </c>
      <c r="CQ13" s="488" t="e">
        <f t="shared" si="34"/>
        <v>#N/A</v>
      </c>
      <c r="CR13" s="488" t="e">
        <f t="shared" si="35"/>
        <v>#N/A</v>
      </c>
      <c r="CS13" s="35"/>
      <c r="CT13" s="35"/>
      <c r="CU13" s="35"/>
      <c r="CV13" s="35"/>
    </row>
    <row r="14" spans="1:100" x14ac:dyDescent="0.25">
      <c r="A14" s="319"/>
      <c r="B14" s="152">
        <f t="shared" si="59"/>
        <v>0.25000000000020001</v>
      </c>
      <c r="C14" s="205" t="e">
        <f t="shared" si="0"/>
        <v>#N/A</v>
      </c>
      <c r="D14" s="550" t="str">
        <f t="shared" si="36"/>
        <v>YES</v>
      </c>
      <c r="E14" s="178" t="e">
        <f t="shared" si="37"/>
        <v>#N/A</v>
      </c>
      <c r="F14" s="162" t="e">
        <f t="shared" si="37"/>
        <v>#N/A</v>
      </c>
      <c r="G14" s="162" t="e">
        <f t="shared" si="37"/>
        <v>#N/A</v>
      </c>
      <c r="H14" s="162" t="e">
        <f t="shared" si="37"/>
        <v>#N/A</v>
      </c>
      <c r="I14" s="162" t="e">
        <f t="shared" si="37"/>
        <v>#N/A</v>
      </c>
      <c r="J14" s="112" t="e">
        <f t="shared" si="37"/>
        <v>#N/A</v>
      </c>
      <c r="K14" s="160" t="e">
        <f t="shared" si="38"/>
        <v>#N/A</v>
      </c>
      <c r="L14" s="162" t="e">
        <f t="shared" si="2"/>
        <v>#N/A</v>
      </c>
      <c r="M14" s="162" t="e">
        <f t="shared" si="3"/>
        <v>#N/A</v>
      </c>
      <c r="N14" s="162" t="e">
        <f t="shared" si="4"/>
        <v>#N/A</v>
      </c>
      <c r="O14" s="162" t="e">
        <f t="shared" si="5"/>
        <v>#N/A</v>
      </c>
      <c r="P14" s="112" t="e">
        <f t="shared" si="6"/>
        <v>#N/A</v>
      </c>
      <c r="Q14" s="178" t="e">
        <f t="shared" si="39"/>
        <v>#N/A</v>
      </c>
      <c r="R14" s="162" t="e">
        <f t="shared" si="7"/>
        <v>#N/A</v>
      </c>
      <c r="S14" s="162" t="e">
        <f t="shared" si="8"/>
        <v>#N/A</v>
      </c>
      <c r="T14" s="162" t="e">
        <f t="shared" si="9"/>
        <v>#N/A</v>
      </c>
      <c r="U14" s="162" t="e">
        <f t="shared" si="10"/>
        <v>#N/A</v>
      </c>
      <c r="V14" s="112" t="e">
        <f t="shared" si="11"/>
        <v>#N/A</v>
      </c>
      <c r="W14" s="178" t="e">
        <f t="shared" si="40"/>
        <v>#N/A</v>
      </c>
      <c r="X14" s="162" t="e">
        <f t="shared" si="12"/>
        <v>#N/A</v>
      </c>
      <c r="Y14" s="162" t="e">
        <f t="shared" si="13"/>
        <v>#N/A</v>
      </c>
      <c r="Z14" s="162" t="e">
        <f t="shared" si="14"/>
        <v>#N/A</v>
      </c>
      <c r="AA14" s="162" t="e">
        <f t="shared" si="15"/>
        <v>#N/A</v>
      </c>
      <c r="AB14" s="112" t="e">
        <f t="shared" si="16"/>
        <v>#N/A</v>
      </c>
      <c r="AC14" s="178" t="e">
        <f t="shared" si="41"/>
        <v>#N/A</v>
      </c>
      <c r="AD14" s="162" t="e">
        <f t="shared" si="17"/>
        <v>#N/A</v>
      </c>
      <c r="AE14" s="162" t="e">
        <f t="shared" si="18"/>
        <v>#N/A</v>
      </c>
      <c r="AF14" s="162" t="e">
        <f t="shared" si="19"/>
        <v>#N/A</v>
      </c>
      <c r="AG14" s="162" t="e">
        <f t="shared" si="20"/>
        <v>#N/A</v>
      </c>
      <c r="AH14" s="162" t="e">
        <f t="shared" si="21"/>
        <v>#N/A</v>
      </c>
      <c r="AJ14" s="166" t="s">
        <v>270</v>
      </c>
      <c r="AK14" s="166" t="s">
        <v>270</v>
      </c>
      <c r="AL14" s="166" t="s">
        <v>270</v>
      </c>
      <c r="AM14" s="166" t="s">
        <v>270</v>
      </c>
      <c r="AN14" s="166" t="s">
        <v>270</v>
      </c>
      <c r="AO14" s="166" t="s">
        <v>270</v>
      </c>
      <c r="AP14" s="208" t="s">
        <v>270</v>
      </c>
      <c r="AQ14" s="162" t="e">
        <f t="shared" si="42"/>
        <v>#N/A</v>
      </c>
      <c r="AR14" s="162" t="e">
        <f t="shared" si="42"/>
        <v>#N/A</v>
      </c>
      <c r="AS14" s="162" t="e">
        <f t="shared" si="42"/>
        <v>#N/A</v>
      </c>
      <c r="AT14" s="162" t="e">
        <f t="shared" si="42"/>
        <v>#N/A</v>
      </c>
      <c r="AU14" s="162" t="e">
        <f t="shared" si="42"/>
        <v>#N/A</v>
      </c>
      <c r="AV14" s="208" t="s">
        <v>270</v>
      </c>
      <c r="AW14" s="162" t="e">
        <f t="shared" si="42"/>
        <v>#N/A</v>
      </c>
      <c r="AX14" s="162" t="e">
        <f t="shared" si="42"/>
        <v>#N/A</v>
      </c>
      <c r="AY14" s="162" t="e">
        <f t="shared" si="42"/>
        <v>#N/A</v>
      </c>
      <c r="AZ14" s="162" t="e">
        <f t="shared" si="42"/>
        <v>#N/A</v>
      </c>
      <c r="BA14" s="162" t="e">
        <f t="shared" si="42"/>
        <v>#N/A</v>
      </c>
      <c r="BB14" s="208" t="s">
        <v>270</v>
      </c>
      <c r="BC14" s="162" t="e">
        <f t="shared" si="43"/>
        <v>#N/A</v>
      </c>
      <c r="BD14" s="162" t="e">
        <f t="shared" si="43"/>
        <v>#N/A</v>
      </c>
      <c r="BE14" s="162" t="e">
        <f t="shared" si="43"/>
        <v>#N/A</v>
      </c>
      <c r="BF14" s="162" t="e">
        <f t="shared" si="43"/>
        <v>#N/A</v>
      </c>
      <c r="BG14" s="162" t="e">
        <f t="shared" si="43"/>
        <v>#N/A</v>
      </c>
      <c r="BH14" s="208" t="s">
        <v>270</v>
      </c>
      <c r="BI14" s="162" t="e">
        <f t="shared" si="44"/>
        <v>#N/A</v>
      </c>
      <c r="BJ14" s="162" t="e">
        <f t="shared" si="44"/>
        <v>#N/A</v>
      </c>
      <c r="BK14" s="162" t="e">
        <f t="shared" si="44"/>
        <v>#N/A</v>
      </c>
      <c r="BL14" s="162" t="e">
        <f t="shared" si="44"/>
        <v>#N/A</v>
      </c>
      <c r="BM14" s="162" t="e">
        <f t="shared" si="44"/>
        <v>#N/A</v>
      </c>
      <c r="BO14" s="162" t="e">
        <f t="shared" si="45"/>
        <v>#N/A</v>
      </c>
      <c r="BP14" s="162" t="e">
        <f t="shared" si="46"/>
        <v>#N/A</v>
      </c>
      <c r="BQ14" s="162" t="e">
        <f t="shared" si="47"/>
        <v>#N/A</v>
      </c>
      <c r="BR14" s="162" t="e">
        <f t="shared" si="48"/>
        <v>#N/A</v>
      </c>
      <c r="BS14" s="162" t="e">
        <f t="shared" si="49"/>
        <v>#N/A</v>
      </c>
      <c r="BT14" s="112" t="e">
        <f t="shared" si="50"/>
        <v>#N/A</v>
      </c>
      <c r="BU14" s="178" t="e">
        <f t="shared" si="51"/>
        <v>#N/A</v>
      </c>
      <c r="BV14" s="488" t="e">
        <f t="shared" si="52"/>
        <v>#N/A</v>
      </c>
      <c r="BW14" s="488" t="e">
        <f t="shared" si="23"/>
        <v>#N/A</v>
      </c>
      <c r="BX14" s="488" t="e">
        <f t="shared" si="23"/>
        <v>#N/A</v>
      </c>
      <c r="BY14" s="488" t="e">
        <f t="shared" si="23"/>
        <v>#N/A</v>
      </c>
      <c r="BZ14" s="488" t="e">
        <f t="shared" si="23"/>
        <v>#N/A</v>
      </c>
      <c r="CA14" s="178" t="e">
        <f t="shared" si="53"/>
        <v>#N/A</v>
      </c>
      <c r="CB14" s="488" t="e">
        <f t="shared" si="54"/>
        <v>#N/A</v>
      </c>
      <c r="CC14" s="488" t="e">
        <f t="shared" si="24"/>
        <v>#N/A</v>
      </c>
      <c r="CD14" s="488" t="e">
        <f t="shared" si="25"/>
        <v>#N/A</v>
      </c>
      <c r="CE14" s="488" t="e">
        <f t="shared" si="26"/>
        <v>#N/A</v>
      </c>
      <c r="CF14" s="488" t="e">
        <f t="shared" si="27"/>
        <v>#N/A</v>
      </c>
      <c r="CG14" s="178" t="e">
        <f t="shared" si="55"/>
        <v>#N/A</v>
      </c>
      <c r="CH14" s="488" t="e">
        <f t="shared" si="56"/>
        <v>#N/A</v>
      </c>
      <c r="CI14" s="488" t="e">
        <f t="shared" si="28"/>
        <v>#N/A</v>
      </c>
      <c r="CJ14" s="488" t="e">
        <f t="shared" si="29"/>
        <v>#N/A</v>
      </c>
      <c r="CK14" s="488" t="e">
        <f t="shared" si="30"/>
        <v>#N/A</v>
      </c>
      <c r="CL14" s="488" t="e">
        <f t="shared" si="31"/>
        <v>#N/A</v>
      </c>
      <c r="CM14" s="178" t="e">
        <f t="shared" si="57"/>
        <v>#N/A</v>
      </c>
      <c r="CN14" s="488" t="e">
        <f t="shared" si="58"/>
        <v>#N/A</v>
      </c>
      <c r="CO14" s="488" t="e">
        <f t="shared" si="32"/>
        <v>#N/A</v>
      </c>
      <c r="CP14" s="488" t="e">
        <f t="shared" si="33"/>
        <v>#N/A</v>
      </c>
      <c r="CQ14" s="488" t="e">
        <f t="shared" si="34"/>
        <v>#N/A</v>
      </c>
      <c r="CR14" s="488" t="e">
        <f t="shared" si="35"/>
        <v>#N/A</v>
      </c>
      <c r="CS14" s="35"/>
      <c r="CT14" s="35"/>
      <c r="CU14" s="35"/>
      <c r="CV14" s="35"/>
    </row>
    <row r="15" spans="1:100" x14ac:dyDescent="0.25">
      <c r="A15" s="319"/>
      <c r="B15" s="152">
        <f t="shared" si="59"/>
        <v>0.2916666666669</v>
      </c>
      <c r="C15" s="205" t="e">
        <f t="shared" si="0"/>
        <v>#N/A</v>
      </c>
      <c r="D15" s="550" t="str">
        <f t="shared" si="36"/>
        <v>YES</v>
      </c>
      <c r="E15" s="178" t="e">
        <f t="shared" si="37"/>
        <v>#N/A</v>
      </c>
      <c r="F15" s="162" t="e">
        <f t="shared" si="37"/>
        <v>#N/A</v>
      </c>
      <c r="G15" s="162" t="e">
        <f t="shared" si="37"/>
        <v>#N/A</v>
      </c>
      <c r="H15" s="162" t="e">
        <f t="shared" si="37"/>
        <v>#N/A</v>
      </c>
      <c r="I15" s="162" t="e">
        <f t="shared" si="37"/>
        <v>#N/A</v>
      </c>
      <c r="J15" s="112" t="e">
        <f t="shared" si="37"/>
        <v>#N/A</v>
      </c>
      <c r="K15" s="160" t="e">
        <f t="shared" si="38"/>
        <v>#N/A</v>
      </c>
      <c r="L15" s="162" t="e">
        <f t="shared" si="2"/>
        <v>#N/A</v>
      </c>
      <c r="M15" s="162" t="e">
        <f t="shared" si="3"/>
        <v>#N/A</v>
      </c>
      <c r="N15" s="162" t="e">
        <f t="shared" si="4"/>
        <v>#N/A</v>
      </c>
      <c r="O15" s="162" t="e">
        <f t="shared" si="5"/>
        <v>#N/A</v>
      </c>
      <c r="P15" s="112" t="e">
        <f t="shared" si="6"/>
        <v>#N/A</v>
      </c>
      <c r="Q15" s="178" t="e">
        <f t="shared" si="39"/>
        <v>#N/A</v>
      </c>
      <c r="R15" s="162" t="e">
        <f t="shared" si="7"/>
        <v>#N/A</v>
      </c>
      <c r="S15" s="162" t="e">
        <f t="shared" si="8"/>
        <v>#N/A</v>
      </c>
      <c r="T15" s="162" t="e">
        <f t="shared" si="9"/>
        <v>#N/A</v>
      </c>
      <c r="U15" s="162" t="e">
        <f t="shared" si="10"/>
        <v>#N/A</v>
      </c>
      <c r="V15" s="112" t="e">
        <f t="shared" si="11"/>
        <v>#N/A</v>
      </c>
      <c r="W15" s="178" t="e">
        <f t="shared" si="40"/>
        <v>#N/A</v>
      </c>
      <c r="X15" s="162" t="e">
        <f t="shared" si="12"/>
        <v>#N/A</v>
      </c>
      <c r="Y15" s="162" t="e">
        <f t="shared" si="13"/>
        <v>#N/A</v>
      </c>
      <c r="Z15" s="162" t="e">
        <f t="shared" si="14"/>
        <v>#N/A</v>
      </c>
      <c r="AA15" s="162" t="e">
        <f t="shared" si="15"/>
        <v>#N/A</v>
      </c>
      <c r="AB15" s="112" t="e">
        <f t="shared" si="16"/>
        <v>#N/A</v>
      </c>
      <c r="AC15" s="178" t="e">
        <f t="shared" si="41"/>
        <v>#N/A</v>
      </c>
      <c r="AD15" s="162" t="e">
        <f t="shared" si="17"/>
        <v>#N/A</v>
      </c>
      <c r="AE15" s="162" t="e">
        <f t="shared" si="18"/>
        <v>#N/A</v>
      </c>
      <c r="AF15" s="162" t="e">
        <f t="shared" si="19"/>
        <v>#N/A</v>
      </c>
      <c r="AG15" s="162" t="e">
        <f t="shared" si="20"/>
        <v>#N/A</v>
      </c>
      <c r="AH15" s="162" t="e">
        <f t="shared" si="21"/>
        <v>#N/A</v>
      </c>
      <c r="AJ15" s="166" t="s">
        <v>270</v>
      </c>
      <c r="AK15" s="166" t="s">
        <v>270</v>
      </c>
      <c r="AL15" s="166" t="s">
        <v>270</v>
      </c>
      <c r="AM15" s="166" t="s">
        <v>270</v>
      </c>
      <c r="AN15" s="166" t="s">
        <v>270</v>
      </c>
      <c r="AO15" s="166" t="s">
        <v>270</v>
      </c>
      <c r="AP15" s="208" t="s">
        <v>270</v>
      </c>
      <c r="AQ15" s="162" t="e">
        <f t="shared" si="42"/>
        <v>#N/A</v>
      </c>
      <c r="AR15" s="162" t="e">
        <f t="shared" si="42"/>
        <v>#N/A</v>
      </c>
      <c r="AS15" s="162" t="e">
        <f t="shared" si="42"/>
        <v>#N/A</v>
      </c>
      <c r="AT15" s="162" t="e">
        <f t="shared" si="42"/>
        <v>#N/A</v>
      </c>
      <c r="AU15" s="162" t="e">
        <f t="shared" si="42"/>
        <v>#N/A</v>
      </c>
      <c r="AV15" s="208" t="s">
        <v>270</v>
      </c>
      <c r="AW15" s="162" t="e">
        <f t="shared" si="42"/>
        <v>#N/A</v>
      </c>
      <c r="AX15" s="162" t="e">
        <f t="shared" si="42"/>
        <v>#N/A</v>
      </c>
      <c r="AY15" s="162" t="e">
        <f t="shared" si="42"/>
        <v>#N/A</v>
      </c>
      <c r="AZ15" s="162" t="e">
        <f t="shared" si="42"/>
        <v>#N/A</v>
      </c>
      <c r="BA15" s="162" t="e">
        <f t="shared" si="42"/>
        <v>#N/A</v>
      </c>
      <c r="BB15" s="208" t="s">
        <v>270</v>
      </c>
      <c r="BC15" s="162" t="e">
        <f t="shared" si="43"/>
        <v>#N/A</v>
      </c>
      <c r="BD15" s="162" t="e">
        <f t="shared" si="43"/>
        <v>#N/A</v>
      </c>
      <c r="BE15" s="162" t="e">
        <f t="shared" si="43"/>
        <v>#N/A</v>
      </c>
      <c r="BF15" s="162" t="e">
        <f t="shared" si="43"/>
        <v>#N/A</v>
      </c>
      <c r="BG15" s="162" t="e">
        <f t="shared" si="43"/>
        <v>#N/A</v>
      </c>
      <c r="BH15" s="208" t="s">
        <v>270</v>
      </c>
      <c r="BI15" s="162" t="e">
        <f t="shared" si="44"/>
        <v>#N/A</v>
      </c>
      <c r="BJ15" s="162" t="e">
        <f t="shared" si="44"/>
        <v>#N/A</v>
      </c>
      <c r="BK15" s="162" t="e">
        <f t="shared" si="44"/>
        <v>#N/A</v>
      </c>
      <c r="BL15" s="162" t="e">
        <f t="shared" si="44"/>
        <v>#N/A</v>
      </c>
      <c r="BM15" s="162" t="e">
        <f t="shared" si="44"/>
        <v>#N/A</v>
      </c>
      <c r="BO15" s="162" t="e">
        <f t="shared" si="45"/>
        <v>#N/A</v>
      </c>
      <c r="BP15" s="162" t="e">
        <f t="shared" si="46"/>
        <v>#N/A</v>
      </c>
      <c r="BQ15" s="162" t="e">
        <f t="shared" si="47"/>
        <v>#N/A</v>
      </c>
      <c r="BR15" s="162" t="e">
        <f t="shared" si="48"/>
        <v>#N/A</v>
      </c>
      <c r="BS15" s="162" t="e">
        <f t="shared" si="49"/>
        <v>#N/A</v>
      </c>
      <c r="BT15" s="112" t="e">
        <f t="shared" si="50"/>
        <v>#N/A</v>
      </c>
      <c r="BU15" s="178" t="e">
        <f t="shared" si="51"/>
        <v>#N/A</v>
      </c>
      <c r="BV15" s="488" t="e">
        <f t="shared" si="52"/>
        <v>#N/A</v>
      </c>
      <c r="BW15" s="488" t="e">
        <f t="shared" si="23"/>
        <v>#N/A</v>
      </c>
      <c r="BX15" s="488" t="e">
        <f t="shared" si="23"/>
        <v>#N/A</v>
      </c>
      <c r="BY15" s="488" t="e">
        <f t="shared" si="23"/>
        <v>#N/A</v>
      </c>
      <c r="BZ15" s="488" t="e">
        <f t="shared" si="23"/>
        <v>#N/A</v>
      </c>
      <c r="CA15" s="178" t="e">
        <f t="shared" si="53"/>
        <v>#N/A</v>
      </c>
      <c r="CB15" s="488" t="e">
        <f t="shared" si="54"/>
        <v>#N/A</v>
      </c>
      <c r="CC15" s="488" t="e">
        <f t="shared" si="24"/>
        <v>#N/A</v>
      </c>
      <c r="CD15" s="488" t="e">
        <f t="shared" si="25"/>
        <v>#N/A</v>
      </c>
      <c r="CE15" s="488" t="e">
        <f t="shared" si="26"/>
        <v>#N/A</v>
      </c>
      <c r="CF15" s="488" t="e">
        <f t="shared" si="27"/>
        <v>#N/A</v>
      </c>
      <c r="CG15" s="178" t="e">
        <f t="shared" si="55"/>
        <v>#N/A</v>
      </c>
      <c r="CH15" s="488" t="e">
        <f t="shared" si="56"/>
        <v>#N/A</v>
      </c>
      <c r="CI15" s="488" t="e">
        <f t="shared" si="28"/>
        <v>#N/A</v>
      </c>
      <c r="CJ15" s="488" t="e">
        <f t="shared" si="29"/>
        <v>#N/A</v>
      </c>
      <c r="CK15" s="488" t="e">
        <f t="shared" si="30"/>
        <v>#N/A</v>
      </c>
      <c r="CL15" s="488" t="e">
        <f t="shared" si="31"/>
        <v>#N/A</v>
      </c>
      <c r="CM15" s="178" t="e">
        <f t="shared" si="57"/>
        <v>#N/A</v>
      </c>
      <c r="CN15" s="488" t="e">
        <f t="shared" si="58"/>
        <v>#N/A</v>
      </c>
      <c r="CO15" s="488" t="e">
        <f t="shared" si="32"/>
        <v>#N/A</v>
      </c>
      <c r="CP15" s="488" t="e">
        <f t="shared" si="33"/>
        <v>#N/A</v>
      </c>
      <c r="CQ15" s="488" t="e">
        <f t="shared" si="34"/>
        <v>#N/A</v>
      </c>
      <c r="CR15" s="488" t="e">
        <f t="shared" si="35"/>
        <v>#N/A</v>
      </c>
      <c r="CS15" s="35"/>
      <c r="CT15" s="35"/>
      <c r="CU15" s="35"/>
      <c r="CV15" s="35"/>
    </row>
    <row r="16" spans="1:100" x14ac:dyDescent="0.25">
      <c r="A16" s="319"/>
      <c r="B16" s="152">
        <f t="shared" si="59"/>
        <v>0.33333333333359999</v>
      </c>
      <c r="C16" s="205" t="e">
        <f t="shared" si="0"/>
        <v>#N/A</v>
      </c>
      <c r="D16" s="550" t="str">
        <f t="shared" si="36"/>
        <v>YES</v>
      </c>
      <c r="E16" s="178" t="e">
        <f t="shared" si="37"/>
        <v>#N/A</v>
      </c>
      <c r="F16" s="162" t="e">
        <f t="shared" si="37"/>
        <v>#N/A</v>
      </c>
      <c r="G16" s="162" t="e">
        <f t="shared" si="37"/>
        <v>#N/A</v>
      </c>
      <c r="H16" s="162" t="e">
        <f t="shared" si="37"/>
        <v>#N/A</v>
      </c>
      <c r="I16" s="162" t="e">
        <f t="shared" si="37"/>
        <v>#N/A</v>
      </c>
      <c r="J16" s="112" t="e">
        <f t="shared" si="37"/>
        <v>#N/A</v>
      </c>
      <c r="K16" s="160" t="e">
        <f t="shared" si="38"/>
        <v>#N/A</v>
      </c>
      <c r="L16" s="162" t="e">
        <f t="shared" si="2"/>
        <v>#N/A</v>
      </c>
      <c r="M16" s="162" t="e">
        <f t="shared" si="3"/>
        <v>#N/A</v>
      </c>
      <c r="N16" s="162" t="e">
        <f t="shared" si="4"/>
        <v>#N/A</v>
      </c>
      <c r="O16" s="162" t="e">
        <f t="shared" si="5"/>
        <v>#N/A</v>
      </c>
      <c r="P16" s="112" t="e">
        <f t="shared" si="6"/>
        <v>#N/A</v>
      </c>
      <c r="Q16" s="178" t="e">
        <f t="shared" si="39"/>
        <v>#N/A</v>
      </c>
      <c r="R16" s="162" t="e">
        <f t="shared" si="7"/>
        <v>#N/A</v>
      </c>
      <c r="S16" s="162" t="e">
        <f t="shared" si="8"/>
        <v>#N/A</v>
      </c>
      <c r="T16" s="162" t="e">
        <f t="shared" si="9"/>
        <v>#N/A</v>
      </c>
      <c r="U16" s="162" t="e">
        <f t="shared" si="10"/>
        <v>#N/A</v>
      </c>
      <c r="V16" s="112" t="e">
        <f t="shared" si="11"/>
        <v>#N/A</v>
      </c>
      <c r="W16" s="178" t="e">
        <f t="shared" si="40"/>
        <v>#N/A</v>
      </c>
      <c r="X16" s="162" t="e">
        <f t="shared" si="12"/>
        <v>#N/A</v>
      </c>
      <c r="Y16" s="162" t="e">
        <f t="shared" si="13"/>
        <v>#N/A</v>
      </c>
      <c r="Z16" s="162" t="e">
        <f t="shared" si="14"/>
        <v>#N/A</v>
      </c>
      <c r="AA16" s="162" t="e">
        <f t="shared" si="15"/>
        <v>#N/A</v>
      </c>
      <c r="AB16" s="112" t="e">
        <f t="shared" si="16"/>
        <v>#N/A</v>
      </c>
      <c r="AC16" s="178" t="e">
        <f t="shared" si="41"/>
        <v>#N/A</v>
      </c>
      <c r="AD16" s="162" t="e">
        <f t="shared" si="17"/>
        <v>#N/A</v>
      </c>
      <c r="AE16" s="162" t="e">
        <f t="shared" si="18"/>
        <v>#N/A</v>
      </c>
      <c r="AF16" s="162" t="e">
        <f t="shared" si="19"/>
        <v>#N/A</v>
      </c>
      <c r="AG16" s="162" t="e">
        <f t="shared" si="20"/>
        <v>#N/A</v>
      </c>
      <c r="AH16" s="162" t="e">
        <f t="shared" si="21"/>
        <v>#N/A</v>
      </c>
      <c r="AJ16" s="166" t="s">
        <v>270</v>
      </c>
      <c r="AK16" s="166" t="s">
        <v>270</v>
      </c>
      <c r="AL16" s="166" t="s">
        <v>270</v>
      </c>
      <c r="AM16" s="166" t="s">
        <v>270</v>
      </c>
      <c r="AN16" s="166" t="s">
        <v>270</v>
      </c>
      <c r="AO16" s="166" t="s">
        <v>270</v>
      </c>
      <c r="AP16" s="208" t="s">
        <v>270</v>
      </c>
      <c r="AQ16" s="162" t="e">
        <f t="shared" si="42"/>
        <v>#N/A</v>
      </c>
      <c r="AR16" s="162" t="e">
        <f t="shared" si="42"/>
        <v>#N/A</v>
      </c>
      <c r="AS16" s="162" t="e">
        <f t="shared" si="42"/>
        <v>#N/A</v>
      </c>
      <c r="AT16" s="162" t="e">
        <f t="shared" si="42"/>
        <v>#N/A</v>
      </c>
      <c r="AU16" s="162" t="e">
        <f t="shared" si="42"/>
        <v>#N/A</v>
      </c>
      <c r="AV16" s="208" t="s">
        <v>270</v>
      </c>
      <c r="AW16" s="162" t="e">
        <f t="shared" si="42"/>
        <v>#N/A</v>
      </c>
      <c r="AX16" s="162" t="e">
        <f t="shared" si="42"/>
        <v>#N/A</v>
      </c>
      <c r="AY16" s="162" t="e">
        <f t="shared" si="42"/>
        <v>#N/A</v>
      </c>
      <c r="AZ16" s="162" t="e">
        <f t="shared" si="42"/>
        <v>#N/A</v>
      </c>
      <c r="BA16" s="162" t="e">
        <f t="shared" si="42"/>
        <v>#N/A</v>
      </c>
      <c r="BB16" s="208" t="s">
        <v>270</v>
      </c>
      <c r="BC16" s="162" t="e">
        <f t="shared" si="43"/>
        <v>#N/A</v>
      </c>
      <c r="BD16" s="162" t="e">
        <f t="shared" si="43"/>
        <v>#N/A</v>
      </c>
      <c r="BE16" s="162" t="e">
        <f t="shared" si="43"/>
        <v>#N/A</v>
      </c>
      <c r="BF16" s="162" t="e">
        <f t="shared" si="43"/>
        <v>#N/A</v>
      </c>
      <c r="BG16" s="162" t="e">
        <f t="shared" si="43"/>
        <v>#N/A</v>
      </c>
      <c r="BH16" s="208" t="s">
        <v>270</v>
      </c>
      <c r="BI16" s="162" t="e">
        <f t="shared" si="44"/>
        <v>#N/A</v>
      </c>
      <c r="BJ16" s="162" t="e">
        <f t="shared" si="44"/>
        <v>#N/A</v>
      </c>
      <c r="BK16" s="162" t="e">
        <f t="shared" si="44"/>
        <v>#N/A</v>
      </c>
      <c r="BL16" s="162" t="e">
        <f t="shared" si="44"/>
        <v>#N/A</v>
      </c>
      <c r="BM16" s="162" t="e">
        <f t="shared" si="44"/>
        <v>#N/A</v>
      </c>
      <c r="BO16" s="162" t="e">
        <f t="shared" si="45"/>
        <v>#N/A</v>
      </c>
      <c r="BP16" s="162" t="e">
        <f t="shared" si="46"/>
        <v>#N/A</v>
      </c>
      <c r="BQ16" s="162" t="e">
        <f t="shared" si="47"/>
        <v>#N/A</v>
      </c>
      <c r="BR16" s="162" t="e">
        <f t="shared" si="48"/>
        <v>#N/A</v>
      </c>
      <c r="BS16" s="162" t="e">
        <f t="shared" si="49"/>
        <v>#N/A</v>
      </c>
      <c r="BT16" s="112" t="e">
        <f t="shared" si="50"/>
        <v>#N/A</v>
      </c>
      <c r="BU16" s="178" t="e">
        <f t="shared" si="51"/>
        <v>#N/A</v>
      </c>
      <c r="BV16" s="488" t="e">
        <f t="shared" si="52"/>
        <v>#N/A</v>
      </c>
      <c r="BW16" s="488" t="e">
        <f t="shared" si="23"/>
        <v>#N/A</v>
      </c>
      <c r="BX16" s="488" t="e">
        <f t="shared" si="23"/>
        <v>#N/A</v>
      </c>
      <c r="BY16" s="488" t="e">
        <f t="shared" si="23"/>
        <v>#N/A</v>
      </c>
      <c r="BZ16" s="488" t="e">
        <f t="shared" si="23"/>
        <v>#N/A</v>
      </c>
      <c r="CA16" s="178" t="e">
        <f t="shared" si="53"/>
        <v>#N/A</v>
      </c>
      <c r="CB16" s="488" t="e">
        <f t="shared" si="54"/>
        <v>#N/A</v>
      </c>
      <c r="CC16" s="488" t="e">
        <f t="shared" si="24"/>
        <v>#N/A</v>
      </c>
      <c r="CD16" s="488" t="e">
        <f t="shared" si="25"/>
        <v>#N/A</v>
      </c>
      <c r="CE16" s="488" t="e">
        <f t="shared" si="26"/>
        <v>#N/A</v>
      </c>
      <c r="CF16" s="488" t="e">
        <f t="shared" si="27"/>
        <v>#N/A</v>
      </c>
      <c r="CG16" s="178" t="e">
        <f t="shared" si="55"/>
        <v>#N/A</v>
      </c>
      <c r="CH16" s="488" t="e">
        <f t="shared" si="56"/>
        <v>#N/A</v>
      </c>
      <c r="CI16" s="488" t="e">
        <f t="shared" si="28"/>
        <v>#N/A</v>
      </c>
      <c r="CJ16" s="488" t="e">
        <f t="shared" si="29"/>
        <v>#N/A</v>
      </c>
      <c r="CK16" s="488" t="e">
        <f t="shared" si="30"/>
        <v>#N/A</v>
      </c>
      <c r="CL16" s="488" t="e">
        <f t="shared" si="31"/>
        <v>#N/A</v>
      </c>
      <c r="CM16" s="178" t="e">
        <f t="shared" si="57"/>
        <v>#N/A</v>
      </c>
      <c r="CN16" s="488" t="e">
        <f t="shared" si="58"/>
        <v>#N/A</v>
      </c>
      <c r="CO16" s="488" t="e">
        <f t="shared" si="32"/>
        <v>#N/A</v>
      </c>
      <c r="CP16" s="488" t="e">
        <f t="shared" si="33"/>
        <v>#N/A</v>
      </c>
      <c r="CQ16" s="488" t="e">
        <f t="shared" si="34"/>
        <v>#N/A</v>
      </c>
      <c r="CR16" s="488" t="e">
        <f t="shared" si="35"/>
        <v>#N/A</v>
      </c>
      <c r="CS16" s="35"/>
      <c r="CT16" s="35"/>
      <c r="CU16" s="35"/>
      <c r="CV16" s="35"/>
    </row>
    <row r="17" spans="1:100" x14ac:dyDescent="0.25">
      <c r="A17" s="319"/>
      <c r="B17" s="152">
        <f t="shared" si="59"/>
        <v>0.37500000000029998</v>
      </c>
      <c r="C17" s="205" t="e">
        <f t="shared" si="0"/>
        <v>#N/A</v>
      </c>
      <c r="D17" s="550" t="str">
        <f t="shared" si="36"/>
        <v>YES</v>
      </c>
      <c r="E17" s="178" t="e">
        <f t="shared" si="37"/>
        <v>#N/A</v>
      </c>
      <c r="F17" s="162" t="e">
        <f t="shared" si="37"/>
        <v>#N/A</v>
      </c>
      <c r="G17" s="162" t="e">
        <f t="shared" si="37"/>
        <v>#N/A</v>
      </c>
      <c r="H17" s="162" t="e">
        <f t="shared" si="37"/>
        <v>#N/A</v>
      </c>
      <c r="I17" s="162" t="e">
        <f t="shared" si="37"/>
        <v>#N/A</v>
      </c>
      <c r="J17" s="112" t="e">
        <f t="shared" si="37"/>
        <v>#N/A</v>
      </c>
      <c r="K17" s="160" t="e">
        <f t="shared" si="38"/>
        <v>#N/A</v>
      </c>
      <c r="L17" s="162" t="e">
        <f t="shared" si="2"/>
        <v>#N/A</v>
      </c>
      <c r="M17" s="162" t="e">
        <f t="shared" si="3"/>
        <v>#N/A</v>
      </c>
      <c r="N17" s="162" t="e">
        <f t="shared" si="4"/>
        <v>#N/A</v>
      </c>
      <c r="O17" s="162" t="e">
        <f t="shared" si="5"/>
        <v>#N/A</v>
      </c>
      <c r="P17" s="112" t="e">
        <f t="shared" si="6"/>
        <v>#N/A</v>
      </c>
      <c r="Q17" s="178" t="e">
        <f t="shared" si="39"/>
        <v>#N/A</v>
      </c>
      <c r="R17" s="162" t="e">
        <f t="shared" si="7"/>
        <v>#N/A</v>
      </c>
      <c r="S17" s="162" t="e">
        <f t="shared" si="8"/>
        <v>#N/A</v>
      </c>
      <c r="T17" s="162" t="e">
        <f t="shared" si="9"/>
        <v>#N/A</v>
      </c>
      <c r="U17" s="162" t="e">
        <f t="shared" si="10"/>
        <v>#N/A</v>
      </c>
      <c r="V17" s="112" t="e">
        <f t="shared" si="11"/>
        <v>#N/A</v>
      </c>
      <c r="W17" s="178" t="e">
        <f t="shared" si="40"/>
        <v>#N/A</v>
      </c>
      <c r="X17" s="162" t="e">
        <f t="shared" si="12"/>
        <v>#N/A</v>
      </c>
      <c r="Y17" s="162" t="e">
        <f t="shared" si="13"/>
        <v>#N/A</v>
      </c>
      <c r="Z17" s="162" t="e">
        <f t="shared" si="14"/>
        <v>#N/A</v>
      </c>
      <c r="AA17" s="162" t="e">
        <f t="shared" si="15"/>
        <v>#N/A</v>
      </c>
      <c r="AB17" s="112" t="e">
        <f t="shared" si="16"/>
        <v>#N/A</v>
      </c>
      <c r="AC17" s="178" t="e">
        <f t="shared" si="41"/>
        <v>#N/A</v>
      </c>
      <c r="AD17" s="162" t="e">
        <f t="shared" si="17"/>
        <v>#N/A</v>
      </c>
      <c r="AE17" s="162" t="e">
        <f t="shared" si="18"/>
        <v>#N/A</v>
      </c>
      <c r="AF17" s="162" t="e">
        <f t="shared" si="19"/>
        <v>#N/A</v>
      </c>
      <c r="AG17" s="162" t="e">
        <f t="shared" si="20"/>
        <v>#N/A</v>
      </c>
      <c r="AH17" s="162" t="e">
        <f t="shared" si="21"/>
        <v>#N/A</v>
      </c>
      <c r="AJ17" s="166" t="s">
        <v>270</v>
      </c>
      <c r="AK17" s="166" t="s">
        <v>270</v>
      </c>
      <c r="AL17" s="166" t="s">
        <v>270</v>
      </c>
      <c r="AM17" s="166" t="s">
        <v>270</v>
      </c>
      <c r="AN17" s="166" t="s">
        <v>270</v>
      </c>
      <c r="AO17" s="166" t="s">
        <v>270</v>
      </c>
      <c r="AP17" s="208" t="s">
        <v>270</v>
      </c>
      <c r="AQ17" s="162" t="e">
        <f t="shared" si="42"/>
        <v>#N/A</v>
      </c>
      <c r="AR17" s="162" t="e">
        <f t="shared" si="42"/>
        <v>#N/A</v>
      </c>
      <c r="AS17" s="162" t="e">
        <f t="shared" si="42"/>
        <v>#N/A</v>
      </c>
      <c r="AT17" s="162" t="e">
        <f t="shared" si="42"/>
        <v>#N/A</v>
      </c>
      <c r="AU17" s="162" t="e">
        <f t="shared" si="42"/>
        <v>#N/A</v>
      </c>
      <c r="AV17" s="208" t="s">
        <v>270</v>
      </c>
      <c r="AW17" s="162" t="e">
        <f t="shared" si="42"/>
        <v>#N/A</v>
      </c>
      <c r="AX17" s="162" t="e">
        <f t="shared" si="42"/>
        <v>#N/A</v>
      </c>
      <c r="AY17" s="162" t="e">
        <f t="shared" si="42"/>
        <v>#N/A</v>
      </c>
      <c r="AZ17" s="162" t="e">
        <f t="shared" si="42"/>
        <v>#N/A</v>
      </c>
      <c r="BA17" s="162" t="e">
        <f t="shared" si="42"/>
        <v>#N/A</v>
      </c>
      <c r="BB17" s="208" t="s">
        <v>270</v>
      </c>
      <c r="BC17" s="162" t="e">
        <f t="shared" si="43"/>
        <v>#N/A</v>
      </c>
      <c r="BD17" s="162" t="e">
        <f t="shared" si="43"/>
        <v>#N/A</v>
      </c>
      <c r="BE17" s="162" t="e">
        <f t="shared" si="43"/>
        <v>#N/A</v>
      </c>
      <c r="BF17" s="162" t="e">
        <f t="shared" si="43"/>
        <v>#N/A</v>
      </c>
      <c r="BG17" s="162" t="e">
        <f t="shared" si="43"/>
        <v>#N/A</v>
      </c>
      <c r="BH17" s="208" t="s">
        <v>270</v>
      </c>
      <c r="BI17" s="162" t="e">
        <f t="shared" si="44"/>
        <v>#N/A</v>
      </c>
      <c r="BJ17" s="162" t="e">
        <f t="shared" si="44"/>
        <v>#N/A</v>
      </c>
      <c r="BK17" s="162" t="e">
        <f t="shared" si="44"/>
        <v>#N/A</v>
      </c>
      <c r="BL17" s="162" t="e">
        <f t="shared" si="44"/>
        <v>#N/A</v>
      </c>
      <c r="BM17" s="162" t="e">
        <f t="shared" si="44"/>
        <v>#N/A</v>
      </c>
      <c r="BO17" s="162" t="e">
        <f t="shared" si="45"/>
        <v>#N/A</v>
      </c>
      <c r="BP17" s="162" t="e">
        <f t="shared" si="46"/>
        <v>#N/A</v>
      </c>
      <c r="BQ17" s="162" t="e">
        <f t="shared" si="47"/>
        <v>#N/A</v>
      </c>
      <c r="BR17" s="162" t="e">
        <f t="shared" si="48"/>
        <v>#N/A</v>
      </c>
      <c r="BS17" s="162" t="e">
        <f t="shared" si="49"/>
        <v>#N/A</v>
      </c>
      <c r="BT17" s="112" t="e">
        <f t="shared" si="50"/>
        <v>#N/A</v>
      </c>
      <c r="BU17" s="178" t="e">
        <f t="shared" si="51"/>
        <v>#N/A</v>
      </c>
      <c r="BV17" s="488" t="e">
        <f t="shared" si="52"/>
        <v>#N/A</v>
      </c>
      <c r="BW17" s="488" t="e">
        <f t="shared" si="23"/>
        <v>#N/A</v>
      </c>
      <c r="BX17" s="488" t="e">
        <f t="shared" si="23"/>
        <v>#N/A</v>
      </c>
      <c r="BY17" s="488" t="e">
        <f t="shared" si="23"/>
        <v>#N/A</v>
      </c>
      <c r="BZ17" s="488" t="e">
        <f t="shared" si="23"/>
        <v>#N/A</v>
      </c>
      <c r="CA17" s="178" t="e">
        <f t="shared" si="53"/>
        <v>#N/A</v>
      </c>
      <c r="CB17" s="488" t="e">
        <f t="shared" si="54"/>
        <v>#N/A</v>
      </c>
      <c r="CC17" s="488" t="e">
        <f t="shared" si="24"/>
        <v>#N/A</v>
      </c>
      <c r="CD17" s="488" t="e">
        <f t="shared" si="25"/>
        <v>#N/A</v>
      </c>
      <c r="CE17" s="488" t="e">
        <f t="shared" si="26"/>
        <v>#N/A</v>
      </c>
      <c r="CF17" s="488" t="e">
        <f t="shared" si="27"/>
        <v>#N/A</v>
      </c>
      <c r="CG17" s="178" t="e">
        <f t="shared" si="55"/>
        <v>#N/A</v>
      </c>
      <c r="CH17" s="488" t="e">
        <f t="shared" si="56"/>
        <v>#N/A</v>
      </c>
      <c r="CI17" s="488" t="e">
        <f t="shared" si="28"/>
        <v>#N/A</v>
      </c>
      <c r="CJ17" s="488" t="e">
        <f t="shared" si="29"/>
        <v>#N/A</v>
      </c>
      <c r="CK17" s="488" t="e">
        <f t="shared" si="30"/>
        <v>#N/A</v>
      </c>
      <c r="CL17" s="488" t="e">
        <f t="shared" si="31"/>
        <v>#N/A</v>
      </c>
      <c r="CM17" s="178" t="e">
        <f t="shared" si="57"/>
        <v>#N/A</v>
      </c>
      <c r="CN17" s="488" t="e">
        <f t="shared" si="58"/>
        <v>#N/A</v>
      </c>
      <c r="CO17" s="488" t="e">
        <f t="shared" si="32"/>
        <v>#N/A</v>
      </c>
      <c r="CP17" s="488" t="e">
        <f t="shared" si="33"/>
        <v>#N/A</v>
      </c>
      <c r="CQ17" s="488" t="e">
        <f t="shared" si="34"/>
        <v>#N/A</v>
      </c>
      <c r="CR17" s="488" t="e">
        <f t="shared" si="35"/>
        <v>#N/A</v>
      </c>
      <c r="CS17" s="35"/>
      <c r="CT17" s="35"/>
      <c r="CU17" s="35"/>
      <c r="CV17" s="35"/>
    </row>
    <row r="18" spans="1:100" x14ac:dyDescent="0.25">
      <c r="A18" s="319"/>
      <c r="B18" s="152">
        <f t="shared" si="59"/>
        <v>0.41666666666699997</v>
      </c>
      <c r="C18" s="205" t="e">
        <f t="shared" si="0"/>
        <v>#N/A</v>
      </c>
      <c r="D18" s="550" t="str">
        <f t="shared" si="36"/>
        <v>YES</v>
      </c>
      <c r="E18" s="178" t="e">
        <f t="shared" si="37"/>
        <v>#N/A</v>
      </c>
      <c r="F18" s="162" t="e">
        <f t="shared" si="37"/>
        <v>#N/A</v>
      </c>
      <c r="G18" s="162" t="e">
        <f t="shared" si="37"/>
        <v>#N/A</v>
      </c>
      <c r="H18" s="162" t="e">
        <f t="shared" si="37"/>
        <v>#N/A</v>
      </c>
      <c r="I18" s="162" t="e">
        <f t="shared" si="37"/>
        <v>#N/A</v>
      </c>
      <c r="J18" s="112" t="e">
        <f t="shared" si="37"/>
        <v>#N/A</v>
      </c>
      <c r="K18" s="160" t="e">
        <f t="shared" si="38"/>
        <v>#N/A</v>
      </c>
      <c r="L18" s="162" t="e">
        <f t="shared" si="2"/>
        <v>#N/A</v>
      </c>
      <c r="M18" s="162" t="e">
        <f t="shared" si="3"/>
        <v>#N/A</v>
      </c>
      <c r="N18" s="162" t="e">
        <f t="shared" si="4"/>
        <v>#N/A</v>
      </c>
      <c r="O18" s="162" t="e">
        <f t="shared" si="5"/>
        <v>#N/A</v>
      </c>
      <c r="P18" s="112" t="e">
        <f t="shared" si="6"/>
        <v>#N/A</v>
      </c>
      <c r="Q18" s="178" t="e">
        <f t="shared" si="39"/>
        <v>#N/A</v>
      </c>
      <c r="R18" s="162" t="e">
        <f t="shared" si="7"/>
        <v>#N/A</v>
      </c>
      <c r="S18" s="162" t="e">
        <f t="shared" si="8"/>
        <v>#N/A</v>
      </c>
      <c r="T18" s="162" t="e">
        <f t="shared" si="9"/>
        <v>#N/A</v>
      </c>
      <c r="U18" s="162" t="e">
        <f t="shared" si="10"/>
        <v>#N/A</v>
      </c>
      <c r="V18" s="112" t="e">
        <f t="shared" si="11"/>
        <v>#N/A</v>
      </c>
      <c r="W18" s="178" t="e">
        <f t="shared" si="40"/>
        <v>#N/A</v>
      </c>
      <c r="X18" s="162" t="e">
        <f t="shared" si="12"/>
        <v>#N/A</v>
      </c>
      <c r="Y18" s="162" t="e">
        <f t="shared" si="13"/>
        <v>#N/A</v>
      </c>
      <c r="Z18" s="162" t="e">
        <f t="shared" si="14"/>
        <v>#N/A</v>
      </c>
      <c r="AA18" s="162" t="e">
        <f t="shared" si="15"/>
        <v>#N/A</v>
      </c>
      <c r="AB18" s="112" t="e">
        <f t="shared" si="16"/>
        <v>#N/A</v>
      </c>
      <c r="AC18" s="178" t="e">
        <f t="shared" si="41"/>
        <v>#N/A</v>
      </c>
      <c r="AD18" s="162" t="e">
        <f t="shared" si="17"/>
        <v>#N/A</v>
      </c>
      <c r="AE18" s="162" t="e">
        <f t="shared" si="18"/>
        <v>#N/A</v>
      </c>
      <c r="AF18" s="162" t="e">
        <f t="shared" si="19"/>
        <v>#N/A</v>
      </c>
      <c r="AG18" s="162" t="e">
        <f t="shared" si="20"/>
        <v>#N/A</v>
      </c>
      <c r="AH18" s="162" t="e">
        <f t="shared" si="21"/>
        <v>#N/A</v>
      </c>
      <c r="AJ18" s="166" t="s">
        <v>270</v>
      </c>
      <c r="AK18" s="166" t="s">
        <v>270</v>
      </c>
      <c r="AL18" s="166" t="s">
        <v>270</v>
      </c>
      <c r="AM18" s="166" t="s">
        <v>270</v>
      </c>
      <c r="AN18" s="166" t="s">
        <v>270</v>
      </c>
      <c r="AO18" s="166" t="s">
        <v>270</v>
      </c>
      <c r="AP18" s="208" t="s">
        <v>270</v>
      </c>
      <c r="AQ18" s="162" t="e">
        <f t="shared" si="42"/>
        <v>#N/A</v>
      </c>
      <c r="AR18" s="162" t="e">
        <f t="shared" si="42"/>
        <v>#N/A</v>
      </c>
      <c r="AS18" s="162" t="e">
        <f t="shared" si="42"/>
        <v>#N/A</v>
      </c>
      <c r="AT18" s="162" t="e">
        <f t="shared" si="42"/>
        <v>#N/A</v>
      </c>
      <c r="AU18" s="162" t="e">
        <f t="shared" si="42"/>
        <v>#N/A</v>
      </c>
      <c r="AV18" s="208" t="s">
        <v>270</v>
      </c>
      <c r="AW18" s="162" t="e">
        <f t="shared" si="42"/>
        <v>#N/A</v>
      </c>
      <c r="AX18" s="162" t="e">
        <f t="shared" si="42"/>
        <v>#N/A</v>
      </c>
      <c r="AY18" s="162" t="e">
        <f t="shared" si="42"/>
        <v>#N/A</v>
      </c>
      <c r="AZ18" s="162" t="e">
        <f t="shared" si="42"/>
        <v>#N/A</v>
      </c>
      <c r="BA18" s="162" t="e">
        <f t="shared" si="42"/>
        <v>#N/A</v>
      </c>
      <c r="BB18" s="208" t="s">
        <v>270</v>
      </c>
      <c r="BC18" s="162" t="e">
        <f t="shared" si="43"/>
        <v>#N/A</v>
      </c>
      <c r="BD18" s="162" t="e">
        <f t="shared" si="43"/>
        <v>#N/A</v>
      </c>
      <c r="BE18" s="162" t="e">
        <f t="shared" si="43"/>
        <v>#N/A</v>
      </c>
      <c r="BF18" s="162" t="e">
        <f t="shared" si="43"/>
        <v>#N/A</v>
      </c>
      <c r="BG18" s="162" t="e">
        <f t="shared" si="43"/>
        <v>#N/A</v>
      </c>
      <c r="BH18" s="208" t="s">
        <v>270</v>
      </c>
      <c r="BI18" s="162" t="e">
        <f t="shared" si="44"/>
        <v>#N/A</v>
      </c>
      <c r="BJ18" s="162" t="e">
        <f t="shared" si="44"/>
        <v>#N/A</v>
      </c>
      <c r="BK18" s="162" t="e">
        <f t="shared" si="44"/>
        <v>#N/A</v>
      </c>
      <c r="BL18" s="162" t="e">
        <f t="shared" si="44"/>
        <v>#N/A</v>
      </c>
      <c r="BM18" s="162" t="e">
        <f t="shared" si="44"/>
        <v>#N/A</v>
      </c>
      <c r="BO18" s="162" t="e">
        <f t="shared" si="45"/>
        <v>#N/A</v>
      </c>
      <c r="BP18" s="162" t="e">
        <f t="shared" si="46"/>
        <v>#N/A</v>
      </c>
      <c r="BQ18" s="162" t="e">
        <f t="shared" si="47"/>
        <v>#N/A</v>
      </c>
      <c r="BR18" s="162" t="e">
        <f t="shared" si="48"/>
        <v>#N/A</v>
      </c>
      <c r="BS18" s="162" t="e">
        <f t="shared" si="49"/>
        <v>#N/A</v>
      </c>
      <c r="BT18" s="112" t="e">
        <f t="shared" si="50"/>
        <v>#N/A</v>
      </c>
      <c r="BU18" s="178" t="e">
        <f t="shared" si="51"/>
        <v>#N/A</v>
      </c>
      <c r="BV18" s="488" t="e">
        <f t="shared" si="52"/>
        <v>#N/A</v>
      </c>
      <c r="BW18" s="488" t="e">
        <f t="shared" si="23"/>
        <v>#N/A</v>
      </c>
      <c r="BX18" s="488" t="e">
        <f t="shared" si="23"/>
        <v>#N/A</v>
      </c>
      <c r="BY18" s="488" t="e">
        <f t="shared" si="23"/>
        <v>#N/A</v>
      </c>
      <c r="BZ18" s="488" t="e">
        <f t="shared" si="23"/>
        <v>#N/A</v>
      </c>
      <c r="CA18" s="178" t="e">
        <f t="shared" si="53"/>
        <v>#N/A</v>
      </c>
      <c r="CB18" s="488" t="e">
        <f t="shared" si="54"/>
        <v>#N/A</v>
      </c>
      <c r="CC18" s="488" t="e">
        <f t="shared" si="24"/>
        <v>#N/A</v>
      </c>
      <c r="CD18" s="488" t="e">
        <f t="shared" si="25"/>
        <v>#N/A</v>
      </c>
      <c r="CE18" s="488" t="e">
        <f t="shared" si="26"/>
        <v>#N/A</v>
      </c>
      <c r="CF18" s="488" t="e">
        <f t="shared" si="27"/>
        <v>#N/A</v>
      </c>
      <c r="CG18" s="178" t="e">
        <f t="shared" si="55"/>
        <v>#N/A</v>
      </c>
      <c r="CH18" s="488" t="e">
        <f t="shared" si="56"/>
        <v>#N/A</v>
      </c>
      <c r="CI18" s="488" t="e">
        <f t="shared" si="28"/>
        <v>#N/A</v>
      </c>
      <c r="CJ18" s="488" t="e">
        <f t="shared" si="29"/>
        <v>#N/A</v>
      </c>
      <c r="CK18" s="488" t="e">
        <f t="shared" si="30"/>
        <v>#N/A</v>
      </c>
      <c r="CL18" s="488" t="e">
        <f t="shared" si="31"/>
        <v>#N/A</v>
      </c>
      <c r="CM18" s="178" t="e">
        <f t="shared" si="57"/>
        <v>#N/A</v>
      </c>
      <c r="CN18" s="488" t="e">
        <f t="shared" si="58"/>
        <v>#N/A</v>
      </c>
      <c r="CO18" s="488" t="e">
        <f t="shared" si="32"/>
        <v>#N/A</v>
      </c>
      <c r="CP18" s="488" t="e">
        <f t="shared" si="33"/>
        <v>#N/A</v>
      </c>
      <c r="CQ18" s="488" t="e">
        <f t="shared" si="34"/>
        <v>#N/A</v>
      </c>
      <c r="CR18" s="488" t="e">
        <f t="shared" si="35"/>
        <v>#N/A</v>
      </c>
      <c r="CS18" s="35"/>
      <c r="CT18" s="35"/>
      <c r="CU18" s="35"/>
      <c r="CV18" s="35"/>
    </row>
    <row r="19" spans="1:100" x14ac:dyDescent="0.25">
      <c r="A19" s="319"/>
      <c r="B19" s="152">
        <f t="shared" si="59"/>
        <v>0.45833333333370002</v>
      </c>
      <c r="C19" s="205" t="e">
        <f t="shared" si="0"/>
        <v>#N/A</v>
      </c>
      <c r="D19" s="550" t="str">
        <f t="shared" si="36"/>
        <v>YES</v>
      </c>
      <c r="E19" s="178" t="e">
        <f t="shared" si="37"/>
        <v>#N/A</v>
      </c>
      <c r="F19" s="162" t="e">
        <f t="shared" si="37"/>
        <v>#N/A</v>
      </c>
      <c r="G19" s="162" t="e">
        <f t="shared" si="37"/>
        <v>#N/A</v>
      </c>
      <c r="H19" s="162" t="e">
        <f t="shared" si="37"/>
        <v>#N/A</v>
      </c>
      <c r="I19" s="162" t="e">
        <f t="shared" si="37"/>
        <v>#N/A</v>
      </c>
      <c r="J19" s="112" t="e">
        <f t="shared" si="37"/>
        <v>#N/A</v>
      </c>
      <c r="K19" s="160" t="e">
        <f t="shared" si="38"/>
        <v>#N/A</v>
      </c>
      <c r="L19" s="162" t="e">
        <f t="shared" si="2"/>
        <v>#N/A</v>
      </c>
      <c r="M19" s="162" t="e">
        <f t="shared" si="3"/>
        <v>#N/A</v>
      </c>
      <c r="N19" s="162" t="e">
        <f t="shared" si="4"/>
        <v>#N/A</v>
      </c>
      <c r="O19" s="162" t="e">
        <f t="shared" si="5"/>
        <v>#N/A</v>
      </c>
      <c r="P19" s="112" t="e">
        <f t="shared" si="6"/>
        <v>#N/A</v>
      </c>
      <c r="Q19" s="178" t="e">
        <f t="shared" si="39"/>
        <v>#N/A</v>
      </c>
      <c r="R19" s="162" t="e">
        <f t="shared" si="7"/>
        <v>#N/A</v>
      </c>
      <c r="S19" s="162" t="e">
        <f t="shared" si="8"/>
        <v>#N/A</v>
      </c>
      <c r="T19" s="162" t="e">
        <f t="shared" si="9"/>
        <v>#N/A</v>
      </c>
      <c r="U19" s="162" t="e">
        <f t="shared" si="10"/>
        <v>#N/A</v>
      </c>
      <c r="V19" s="112" t="e">
        <f t="shared" si="11"/>
        <v>#N/A</v>
      </c>
      <c r="W19" s="178" t="e">
        <f t="shared" si="40"/>
        <v>#N/A</v>
      </c>
      <c r="X19" s="162" t="e">
        <f t="shared" si="12"/>
        <v>#N/A</v>
      </c>
      <c r="Y19" s="162" t="e">
        <f t="shared" si="13"/>
        <v>#N/A</v>
      </c>
      <c r="Z19" s="162" t="e">
        <f t="shared" si="14"/>
        <v>#N/A</v>
      </c>
      <c r="AA19" s="162" t="e">
        <f t="shared" si="15"/>
        <v>#N/A</v>
      </c>
      <c r="AB19" s="112" t="e">
        <f t="shared" si="16"/>
        <v>#N/A</v>
      </c>
      <c r="AC19" s="178" t="e">
        <f t="shared" si="41"/>
        <v>#N/A</v>
      </c>
      <c r="AD19" s="162" t="e">
        <f t="shared" si="17"/>
        <v>#N/A</v>
      </c>
      <c r="AE19" s="162" t="e">
        <f t="shared" si="18"/>
        <v>#N/A</v>
      </c>
      <c r="AF19" s="162" t="e">
        <f t="shared" si="19"/>
        <v>#N/A</v>
      </c>
      <c r="AG19" s="162" t="e">
        <f t="shared" si="20"/>
        <v>#N/A</v>
      </c>
      <c r="AH19" s="162" t="e">
        <f t="shared" si="21"/>
        <v>#N/A</v>
      </c>
      <c r="AJ19" s="166" t="s">
        <v>270</v>
      </c>
      <c r="AK19" s="166" t="s">
        <v>270</v>
      </c>
      <c r="AL19" s="166" t="s">
        <v>270</v>
      </c>
      <c r="AM19" s="166" t="s">
        <v>270</v>
      </c>
      <c r="AN19" s="166" t="s">
        <v>270</v>
      </c>
      <c r="AO19" s="166" t="s">
        <v>270</v>
      </c>
      <c r="AP19" s="208" t="s">
        <v>270</v>
      </c>
      <c r="AQ19" s="162" t="e">
        <f t="shared" si="42"/>
        <v>#N/A</v>
      </c>
      <c r="AR19" s="162" t="e">
        <f t="shared" si="42"/>
        <v>#N/A</v>
      </c>
      <c r="AS19" s="162" t="e">
        <f t="shared" si="42"/>
        <v>#N/A</v>
      </c>
      <c r="AT19" s="162" t="e">
        <f t="shared" si="42"/>
        <v>#N/A</v>
      </c>
      <c r="AU19" s="162" t="e">
        <f t="shared" si="42"/>
        <v>#N/A</v>
      </c>
      <c r="AV19" s="208" t="s">
        <v>270</v>
      </c>
      <c r="AW19" s="162" t="e">
        <f t="shared" si="42"/>
        <v>#N/A</v>
      </c>
      <c r="AX19" s="162" t="e">
        <f t="shared" si="42"/>
        <v>#N/A</v>
      </c>
      <c r="AY19" s="162" t="e">
        <f t="shared" si="42"/>
        <v>#N/A</v>
      </c>
      <c r="AZ19" s="162" t="e">
        <f t="shared" si="42"/>
        <v>#N/A</v>
      </c>
      <c r="BA19" s="162" t="e">
        <f t="shared" si="42"/>
        <v>#N/A</v>
      </c>
      <c r="BB19" s="208" t="s">
        <v>270</v>
      </c>
      <c r="BC19" s="162" t="e">
        <f t="shared" si="43"/>
        <v>#N/A</v>
      </c>
      <c r="BD19" s="162" t="e">
        <f t="shared" si="43"/>
        <v>#N/A</v>
      </c>
      <c r="BE19" s="162" t="e">
        <f t="shared" si="43"/>
        <v>#N/A</v>
      </c>
      <c r="BF19" s="162" t="e">
        <f t="shared" si="43"/>
        <v>#N/A</v>
      </c>
      <c r="BG19" s="162" t="e">
        <f t="shared" si="43"/>
        <v>#N/A</v>
      </c>
      <c r="BH19" s="208" t="s">
        <v>270</v>
      </c>
      <c r="BI19" s="162" t="e">
        <f t="shared" si="44"/>
        <v>#N/A</v>
      </c>
      <c r="BJ19" s="162" t="e">
        <f t="shared" si="44"/>
        <v>#N/A</v>
      </c>
      <c r="BK19" s="162" t="e">
        <f t="shared" si="44"/>
        <v>#N/A</v>
      </c>
      <c r="BL19" s="162" t="e">
        <f t="shared" si="44"/>
        <v>#N/A</v>
      </c>
      <c r="BM19" s="162" t="e">
        <f t="shared" si="44"/>
        <v>#N/A</v>
      </c>
      <c r="BO19" s="162" t="e">
        <f t="shared" si="45"/>
        <v>#N/A</v>
      </c>
      <c r="BP19" s="162" t="e">
        <f t="shared" si="46"/>
        <v>#N/A</v>
      </c>
      <c r="BQ19" s="162" t="e">
        <f t="shared" si="47"/>
        <v>#N/A</v>
      </c>
      <c r="BR19" s="162" t="e">
        <f t="shared" si="48"/>
        <v>#N/A</v>
      </c>
      <c r="BS19" s="162" t="e">
        <f t="shared" si="49"/>
        <v>#N/A</v>
      </c>
      <c r="BT19" s="112" t="e">
        <f t="shared" si="50"/>
        <v>#N/A</v>
      </c>
      <c r="BU19" s="178" t="e">
        <f t="shared" si="51"/>
        <v>#N/A</v>
      </c>
      <c r="BV19" s="488" t="e">
        <f t="shared" si="52"/>
        <v>#N/A</v>
      </c>
      <c r="BW19" s="488" t="e">
        <f t="shared" si="23"/>
        <v>#N/A</v>
      </c>
      <c r="BX19" s="488" t="e">
        <f t="shared" si="23"/>
        <v>#N/A</v>
      </c>
      <c r="BY19" s="488" t="e">
        <f t="shared" si="23"/>
        <v>#N/A</v>
      </c>
      <c r="BZ19" s="488" t="e">
        <f t="shared" si="23"/>
        <v>#N/A</v>
      </c>
      <c r="CA19" s="178" t="e">
        <f t="shared" si="53"/>
        <v>#N/A</v>
      </c>
      <c r="CB19" s="488" t="e">
        <f t="shared" si="54"/>
        <v>#N/A</v>
      </c>
      <c r="CC19" s="488" t="e">
        <f t="shared" si="24"/>
        <v>#N/A</v>
      </c>
      <c r="CD19" s="488" t="e">
        <f t="shared" si="25"/>
        <v>#N/A</v>
      </c>
      <c r="CE19" s="488" t="e">
        <f t="shared" si="26"/>
        <v>#N/A</v>
      </c>
      <c r="CF19" s="488" t="e">
        <f t="shared" si="27"/>
        <v>#N/A</v>
      </c>
      <c r="CG19" s="178" t="e">
        <f t="shared" si="55"/>
        <v>#N/A</v>
      </c>
      <c r="CH19" s="488" t="e">
        <f t="shared" si="56"/>
        <v>#N/A</v>
      </c>
      <c r="CI19" s="488" t="e">
        <f t="shared" si="28"/>
        <v>#N/A</v>
      </c>
      <c r="CJ19" s="488" t="e">
        <f t="shared" si="29"/>
        <v>#N/A</v>
      </c>
      <c r="CK19" s="488" t="e">
        <f t="shared" si="30"/>
        <v>#N/A</v>
      </c>
      <c r="CL19" s="488" t="e">
        <f t="shared" si="31"/>
        <v>#N/A</v>
      </c>
      <c r="CM19" s="178" t="e">
        <f t="shared" si="57"/>
        <v>#N/A</v>
      </c>
      <c r="CN19" s="488" t="e">
        <f t="shared" si="58"/>
        <v>#N/A</v>
      </c>
      <c r="CO19" s="488" t="e">
        <f t="shared" si="32"/>
        <v>#N/A</v>
      </c>
      <c r="CP19" s="488" t="e">
        <f t="shared" si="33"/>
        <v>#N/A</v>
      </c>
      <c r="CQ19" s="488" t="e">
        <f t="shared" si="34"/>
        <v>#N/A</v>
      </c>
      <c r="CR19" s="488" t="e">
        <f t="shared" si="35"/>
        <v>#N/A</v>
      </c>
      <c r="CS19" s="35"/>
      <c r="CT19" s="35"/>
      <c r="CU19" s="35"/>
      <c r="CV19" s="35"/>
    </row>
    <row r="20" spans="1:100" x14ac:dyDescent="0.25">
      <c r="A20" s="319"/>
      <c r="B20" s="152">
        <f t="shared" si="59"/>
        <v>0.50000000000040001</v>
      </c>
      <c r="C20" s="205" t="e">
        <f t="shared" si="0"/>
        <v>#N/A</v>
      </c>
      <c r="D20" s="550" t="str">
        <f t="shared" si="36"/>
        <v>YES</v>
      </c>
      <c r="E20" s="178" t="e">
        <f t="shared" si="37"/>
        <v>#N/A</v>
      </c>
      <c r="F20" s="162" t="e">
        <f t="shared" si="37"/>
        <v>#N/A</v>
      </c>
      <c r="G20" s="162" t="e">
        <f t="shared" si="37"/>
        <v>#N/A</v>
      </c>
      <c r="H20" s="162" t="e">
        <f t="shared" si="37"/>
        <v>#N/A</v>
      </c>
      <c r="I20" s="162" t="e">
        <f t="shared" si="37"/>
        <v>#N/A</v>
      </c>
      <c r="J20" s="112" t="e">
        <f t="shared" si="37"/>
        <v>#N/A</v>
      </c>
      <c r="K20" s="160" t="e">
        <f t="shared" si="38"/>
        <v>#N/A</v>
      </c>
      <c r="L20" s="162" t="e">
        <f t="shared" si="2"/>
        <v>#N/A</v>
      </c>
      <c r="M20" s="162" t="e">
        <f t="shared" si="3"/>
        <v>#N/A</v>
      </c>
      <c r="N20" s="162" t="e">
        <f t="shared" si="4"/>
        <v>#N/A</v>
      </c>
      <c r="O20" s="162" t="e">
        <f t="shared" si="5"/>
        <v>#N/A</v>
      </c>
      <c r="P20" s="112" t="e">
        <f t="shared" si="6"/>
        <v>#N/A</v>
      </c>
      <c r="Q20" s="178" t="e">
        <f t="shared" si="39"/>
        <v>#N/A</v>
      </c>
      <c r="R20" s="162" t="e">
        <f t="shared" si="7"/>
        <v>#N/A</v>
      </c>
      <c r="S20" s="162" t="e">
        <f t="shared" si="8"/>
        <v>#N/A</v>
      </c>
      <c r="T20" s="162" t="e">
        <f t="shared" si="9"/>
        <v>#N/A</v>
      </c>
      <c r="U20" s="162" t="e">
        <f t="shared" si="10"/>
        <v>#N/A</v>
      </c>
      <c r="V20" s="112" t="e">
        <f t="shared" si="11"/>
        <v>#N/A</v>
      </c>
      <c r="W20" s="178" t="e">
        <f t="shared" si="40"/>
        <v>#N/A</v>
      </c>
      <c r="X20" s="162" t="e">
        <f t="shared" si="12"/>
        <v>#N/A</v>
      </c>
      <c r="Y20" s="162" t="e">
        <f t="shared" si="13"/>
        <v>#N/A</v>
      </c>
      <c r="Z20" s="162" t="e">
        <f t="shared" si="14"/>
        <v>#N/A</v>
      </c>
      <c r="AA20" s="162" t="e">
        <f t="shared" si="15"/>
        <v>#N/A</v>
      </c>
      <c r="AB20" s="112" t="e">
        <f t="shared" si="16"/>
        <v>#N/A</v>
      </c>
      <c r="AC20" s="178" t="e">
        <f t="shared" si="41"/>
        <v>#N/A</v>
      </c>
      <c r="AD20" s="162" t="e">
        <f t="shared" si="17"/>
        <v>#N/A</v>
      </c>
      <c r="AE20" s="162" t="e">
        <f t="shared" si="18"/>
        <v>#N/A</v>
      </c>
      <c r="AF20" s="162" t="e">
        <f t="shared" si="19"/>
        <v>#N/A</v>
      </c>
      <c r="AG20" s="162" t="e">
        <f t="shared" si="20"/>
        <v>#N/A</v>
      </c>
      <c r="AH20" s="162" t="e">
        <f t="shared" si="21"/>
        <v>#N/A</v>
      </c>
      <c r="AJ20" s="166" t="s">
        <v>270</v>
      </c>
      <c r="AK20" s="166" t="s">
        <v>270</v>
      </c>
      <c r="AL20" s="166" t="s">
        <v>270</v>
      </c>
      <c r="AM20" s="166" t="s">
        <v>270</v>
      </c>
      <c r="AN20" s="166" t="s">
        <v>270</v>
      </c>
      <c r="AO20" s="166" t="s">
        <v>270</v>
      </c>
      <c r="AP20" s="208" t="s">
        <v>270</v>
      </c>
      <c r="AQ20" s="162" t="e">
        <f t="shared" si="42"/>
        <v>#N/A</v>
      </c>
      <c r="AR20" s="162" t="e">
        <f t="shared" si="42"/>
        <v>#N/A</v>
      </c>
      <c r="AS20" s="162" t="e">
        <f t="shared" si="42"/>
        <v>#N/A</v>
      </c>
      <c r="AT20" s="162" t="e">
        <f t="shared" si="42"/>
        <v>#N/A</v>
      </c>
      <c r="AU20" s="162" t="e">
        <f t="shared" si="42"/>
        <v>#N/A</v>
      </c>
      <c r="AV20" s="208" t="s">
        <v>270</v>
      </c>
      <c r="AW20" s="162" t="e">
        <f t="shared" si="42"/>
        <v>#N/A</v>
      </c>
      <c r="AX20" s="162" t="e">
        <f t="shared" si="42"/>
        <v>#N/A</v>
      </c>
      <c r="AY20" s="162" t="e">
        <f t="shared" si="42"/>
        <v>#N/A</v>
      </c>
      <c r="AZ20" s="162" t="e">
        <f t="shared" si="42"/>
        <v>#N/A</v>
      </c>
      <c r="BA20" s="162" t="e">
        <f t="shared" si="42"/>
        <v>#N/A</v>
      </c>
      <c r="BB20" s="208" t="s">
        <v>270</v>
      </c>
      <c r="BC20" s="162" t="e">
        <f t="shared" si="43"/>
        <v>#N/A</v>
      </c>
      <c r="BD20" s="162" t="e">
        <f t="shared" si="43"/>
        <v>#N/A</v>
      </c>
      <c r="BE20" s="162" t="e">
        <f t="shared" si="43"/>
        <v>#N/A</v>
      </c>
      <c r="BF20" s="162" t="e">
        <f t="shared" si="43"/>
        <v>#N/A</v>
      </c>
      <c r="BG20" s="162" t="e">
        <f t="shared" si="43"/>
        <v>#N/A</v>
      </c>
      <c r="BH20" s="208" t="s">
        <v>270</v>
      </c>
      <c r="BI20" s="162" t="e">
        <f t="shared" si="44"/>
        <v>#N/A</v>
      </c>
      <c r="BJ20" s="162" t="e">
        <f t="shared" si="44"/>
        <v>#N/A</v>
      </c>
      <c r="BK20" s="162" t="e">
        <f t="shared" si="44"/>
        <v>#N/A</v>
      </c>
      <c r="BL20" s="162" t="e">
        <f t="shared" si="44"/>
        <v>#N/A</v>
      </c>
      <c r="BM20" s="162" t="e">
        <f t="shared" si="44"/>
        <v>#N/A</v>
      </c>
      <c r="BO20" s="162" t="e">
        <f t="shared" si="45"/>
        <v>#N/A</v>
      </c>
      <c r="BP20" s="162" t="e">
        <f t="shared" si="46"/>
        <v>#N/A</v>
      </c>
      <c r="BQ20" s="162" t="e">
        <f t="shared" si="47"/>
        <v>#N/A</v>
      </c>
      <c r="BR20" s="162" t="e">
        <f t="shared" si="48"/>
        <v>#N/A</v>
      </c>
      <c r="BS20" s="162" t="e">
        <f t="shared" si="49"/>
        <v>#N/A</v>
      </c>
      <c r="BT20" s="112" t="e">
        <f t="shared" si="50"/>
        <v>#N/A</v>
      </c>
      <c r="BU20" s="178" t="e">
        <f t="shared" si="51"/>
        <v>#N/A</v>
      </c>
      <c r="BV20" s="488" t="e">
        <f t="shared" si="52"/>
        <v>#N/A</v>
      </c>
      <c r="BW20" s="488" t="e">
        <f t="shared" si="23"/>
        <v>#N/A</v>
      </c>
      <c r="BX20" s="488" t="e">
        <f t="shared" si="23"/>
        <v>#N/A</v>
      </c>
      <c r="BY20" s="488" t="e">
        <f t="shared" si="23"/>
        <v>#N/A</v>
      </c>
      <c r="BZ20" s="488" t="e">
        <f t="shared" si="23"/>
        <v>#N/A</v>
      </c>
      <c r="CA20" s="178" t="e">
        <f t="shared" si="53"/>
        <v>#N/A</v>
      </c>
      <c r="CB20" s="488" t="e">
        <f t="shared" si="54"/>
        <v>#N/A</v>
      </c>
      <c r="CC20" s="488" t="e">
        <f t="shared" si="24"/>
        <v>#N/A</v>
      </c>
      <c r="CD20" s="488" t="e">
        <f t="shared" si="25"/>
        <v>#N/A</v>
      </c>
      <c r="CE20" s="488" t="e">
        <f t="shared" si="26"/>
        <v>#N/A</v>
      </c>
      <c r="CF20" s="488" t="e">
        <f t="shared" si="27"/>
        <v>#N/A</v>
      </c>
      <c r="CG20" s="178" t="e">
        <f t="shared" si="55"/>
        <v>#N/A</v>
      </c>
      <c r="CH20" s="488" t="e">
        <f t="shared" si="56"/>
        <v>#N/A</v>
      </c>
      <c r="CI20" s="488" t="e">
        <f t="shared" si="28"/>
        <v>#N/A</v>
      </c>
      <c r="CJ20" s="488" t="e">
        <f t="shared" si="29"/>
        <v>#N/A</v>
      </c>
      <c r="CK20" s="488" t="e">
        <f t="shared" si="30"/>
        <v>#N/A</v>
      </c>
      <c r="CL20" s="488" t="e">
        <f t="shared" si="31"/>
        <v>#N/A</v>
      </c>
      <c r="CM20" s="178" t="e">
        <f t="shared" si="57"/>
        <v>#N/A</v>
      </c>
      <c r="CN20" s="488" t="e">
        <f t="shared" si="58"/>
        <v>#N/A</v>
      </c>
      <c r="CO20" s="488" t="e">
        <f t="shared" si="32"/>
        <v>#N/A</v>
      </c>
      <c r="CP20" s="488" t="e">
        <f t="shared" si="33"/>
        <v>#N/A</v>
      </c>
      <c r="CQ20" s="488" t="e">
        <f t="shared" si="34"/>
        <v>#N/A</v>
      </c>
      <c r="CR20" s="488" t="e">
        <f t="shared" si="35"/>
        <v>#N/A</v>
      </c>
      <c r="CS20" s="35"/>
      <c r="CT20" s="35"/>
      <c r="CU20" s="35"/>
      <c r="CV20" s="35"/>
    </row>
    <row r="21" spans="1:100" x14ac:dyDescent="0.25">
      <c r="A21" s="319"/>
      <c r="B21" s="152">
        <f t="shared" si="59"/>
        <v>0.54166666666709995</v>
      </c>
      <c r="C21" s="205" t="e">
        <f t="shared" si="0"/>
        <v>#N/A</v>
      </c>
      <c r="D21" s="550" t="str">
        <f t="shared" si="36"/>
        <v>YES</v>
      </c>
      <c r="E21" s="178" t="e">
        <f t="shared" si="37"/>
        <v>#N/A</v>
      </c>
      <c r="F21" s="162" t="e">
        <f t="shared" si="37"/>
        <v>#N/A</v>
      </c>
      <c r="G21" s="162" t="e">
        <f t="shared" si="37"/>
        <v>#N/A</v>
      </c>
      <c r="H21" s="162" t="e">
        <f t="shared" si="37"/>
        <v>#N/A</v>
      </c>
      <c r="I21" s="162" t="e">
        <f t="shared" si="37"/>
        <v>#N/A</v>
      </c>
      <c r="J21" s="112" t="e">
        <f t="shared" si="37"/>
        <v>#N/A</v>
      </c>
      <c r="K21" s="160" t="e">
        <f t="shared" si="38"/>
        <v>#N/A</v>
      </c>
      <c r="L21" s="162" t="e">
        <f t="shared" si="2"/>
        <v>#N/A</v>
      </c>
      <c r="M21" s="162" t="e">
        <f t="shared" si="3"/>
        <v>#N/A</v>
      </c>
      <c r="N21" s="162" t="e">
        <f t="shared" si="4"/>
        <v>#N/A</v>
      </c>
      <c r="O21" s="162" t="e">
        <f t="shared" si="5"/>
        <v>#N/A</v>
      </c>
      <c r="P21" s="112" t="e">
        <f t="shared" si="6"/>
        <v>#N/A</v>
      </c>
      <c r="Q21" s="178" t="e">
        <f t="shared" si="39"/>
        <v>#N/A</v>
      </c>
      <c r="R21" s="162" t="e">
        <f t="shared" si="7"/>
        <v>#N/A</v>
      </c>
      <c r="S21" s="162" t="e">
        <f t="shared" si="8"/>
        <v>#N/A</v>
      </c>
      <c r="T21" s="162" t="e">
        <f t="shared" si="9"/>
        <v>#N/A</v>
      </c>
      <c r="U21" s="162" t="e">
        <f t="shared" si="10"/>
        <v>#N/A</v>
      </c>
      <c r="V21" s="112" t="e">
        <f t="shared" si="11"/>
        <v>#N/A</v>
      </c>
      <c r="W21" s="178" t="e">
        <f t="shared" si="40"/>
        <v>#N/A</v>
      </c>
      <c r="X21" s="162" t="e">
        <f t="shared" si="12"/>
        <v>#N/A</v>
      </c>
      <c r="Y21" s="162" t="e">
        <f t="shared" si="13"/>
        <v>#N/A</v>
      </c>
      <c r="Z21" s="162" t="e">
        <f t="shared" si="14"/>
        <v>#N/A</v>
      </c>
      <c r="AA21" s="162" t="e">
        <f t="shared" si="15"/>
        <v>#N/A</v>
      </c>
      <c r="AB21" s="112" t="e">
        <f t="shared" si="16"/>
        <v>#N/A</v>
      </c>
      <c r="AC21" s="178" t="e">
        <f t="shared" si="41"/>
        <v>#N/A</v>
      </c>
      <c r="AD21" s="162" t="e">
        <f t="shared" si="17"/>
        <v>#N/A</v>
      </c>
      <c r="AE21" s="162" t="e">
        <f t="shared" si="18"/>
        <v>#N/A</v>
      </c>
      <c r="AF21" s="162" t="e">
        <f t="shared" si="19"/>
        <v>#N/A</v>
      </c>
      <c r="AG21" s="162" t="e">
        <f t="shared" si="20"/>
        <v>#N/A</v>
      </c>
      <c r="AH21" s="162" t="e">
        <f t="shared" si="21"/>
        <v>#N/A</v>
      </c>
      <c r="AJ21" s="166" t="s">
        <v>270</v>
      </c>
      <c r="AK21" s="166" t="s">
        <v>270</v>
      </c>
      <c r="AL21" s="166" t="s">
        <v>270</v>
      </c>
      <c r="AM21" s="166" t="s">
        <v>270</v>
      </c>
      <c r="AN21" s="166" t="s">
        <v>270</v>
      </c>
      <c r="AO21" s="166" t="s">
        <v>270</v>
      </c>
      <c r="AP21" s="208" t="s">
        <v>270</v>
      </c>
      <c r="AQ21" s="162" t="e">
        <f t="shared" si="42"/>
        <v>#N/A</v>
      </c>
      <c r="AR21" s="162" t="e">
        <f t="shared" si="42"/>
        <v>#N/A</v>
      </c>
      <c r="AS21" s="162" t="e">
        <f t="shared" si="42"/>
        <v>#N/A</v>
      </c>
      <c r="AT21" s="162" t="e">
        <f t="shared" si="42"/>
        <v>#N/A</v>
      </c>
      <c r="AU21" s="162" t="e">
        <f t="shared" si="42"/>
        <v>#N/A</v>
      </c>
      <c r="AV21" s="208" t="s">
        <v>270</v>
      </c>
      <c r="AW21" s="162" t="e">
        <f t="shared" si="42"/>
        <v>#N/A</v>
      </c>
      <c r="AX21" s="162" t="e">
        <f t="shared" si="42"/>
        <v>#N/A</v>
      </c>
      <c r="AY21" s="162" t="e">
        <f t="shared" si="42"/>
        <v>#N/A</v>
      </c>
      <c r="AZ21" s="162" t="e">
        <f t="shared" si="42"/>
        <v>#N/A</v>
      </c>
      <c r="BA21" s="162" t="e">
        <f t="shared" si="42"/>
        <v>#N/A</v>
      </c>
      <c r="BB21" s="208" t="s">
        <v>270</v>
      </c>
      <c r="BC21" s="162" t="e">
        <f t="shared" si="43"/>
        <v>#N/A</v>
      </c>
      <c r="BD21" s="162" t="e">
        <f t="shared" si="43"/>
        <v>#N/A</v>
      </c>
      <c r="BE21" s="162" t="e">
        <f t="shared" si="43"/>
        <v>#N/A</v>
      </c>
      <c r="BF21" s="162" t="e">
        <f t="shared" si="43"/>
        <v>#N/A</v>
      </c>
      <c r="BG21" s="162" t="e">
        <f t="shared" si="43"/>
        <v>#N/A</v>
      </c>
      <c r="BH21" s="208" t="s">
        <v>270</v>
      </c>
      <c r="BI21" s="162" t="e">
        <f t="shared" si="44"/>
        <v>#N/A</v>
      </c>
      <c r="BJ21" s="162" t="e">
        <f t="shared" si="44"/>
        <v>#N/A</v>
      </c>
      <c r="BK21" s="162" t="e">
        <f t="shared" si="44"/>
        <v>#N/A</v>
      </c>
      <c r="BL21" s="162" t="e">
        <f t="shared" si="44"/>
        <v>#N/A</v>
      </c>
      <c r="BM21" s="162" t="e">
        <f t="shared" si="44"/>
        <v>#N/A</v>
      </c>
      <c r="BO21" s="162" t="e">
        <f t="shared" si="45"/>
        <v>#N/A</v>
      </c>
      <c r="BP21" s="162" t="e">
        <f t="shared" si="46"/>
        <v>#N/A</v>
      </c>
      <c r="BQ21" s="162" t="e">
        <f t="shared" si="47"/>
        <v>#N/A</v>
      </c>
      <c r="BR21" s="162" t="e">
        <f t="shared" si="48"/>
        <v>#N/A</v>
      </c>
      <c r="BS21" s="162" t="e">
        <f t="shared" si="49"/>
        <v>#N/A</v>
      </c>
      <c r="BT21" s="112" t="e">
        <f t="shared" si="50"/>
        <v>#N/A</v>
      </c>
      <c r="BU21" s="178" t="e">
        <f t="shared" si="51"/>
        <v>#N/A</v>
      </c>
      <c r="BV21" s="488" t="e">
        <f t="shared" si="52"/>
        <v>#N/A</v>
      </c>
      <c r="BW21" s="488" t="e">
        <f t="shared" si="23"/>
        <v>#N/A</v>
      </c>
      <c r="BX21" s="488" t="e">
        <f t="shared" si="23"/>
        <v>#N/A</v>
      </c>
      <c r="BY21" s="488" t="e">
        <f t="shared" si="23"/>
        <v>#N/A</v>
      </c>
      <c r="BZ21" s="488" t="e">
        <f t="shared" si="23"/>
        <v>#N/A</v>
      </c>
      <c r="CA21" s="178" t="e">
        <f t="shared" si="53"/>
        <v>#N/A</v>
      </c>
      <c r="CB21" s="488" t="e">
        <f t="shared" si="54"/>
        <v>#N/A</v>
      </c>
      <c r="CC21" s="488" t="e">
        <f t="shared" si="24"/>
        <v>#N/A</v>
      </c>
      <c r="CD21" s="488" t="e">
        <f t="shared" si="25"/>
        <v>#N/A</v>
      </c>
      <c r="CE21" s="488" t="e">
        <f t="shared" si="26"/>
        <v>#N/A</v>
      </c>
      <c r="CF21" s="488" t="e">
        <f t="shared" si="27"/>
        <v>#N/A</v>
      </c>
      <c r="CG21" s="178" t="e">
        <f t="shared" si="55"/>
        <v>#N/A</v>
      </c>
      <c r="CH21" s="488" t="e">
        <f t="shared" si="56"/>
        <v>#N/A</v>
      </c>
      <c r="CI21" s="488" t="e">
        <f t="shared" si="28"/>
        <v>#N/A</v>
      </c>
      <c r="CJ21" s="488" t="e">
        <f t="shared" si="29"/>
        <v>#N/A</v>
      </c>
      <c r="CK21" s="488" t="e">
        <f t="shared" si="30"/>
        <v>#N/A</v>
      </c>
      <c r="CL21" s="488" t="e">
        <f t="shared" si="31"/>
        <v>#N/A</v>
      </c>
      <c r="CM21" s="178" t="e">
        <f t="shared" si="57"/>
        <v>#N/A</v>
      </c>
      <c r="CN21" s="488" t="e">
        <f t="shared" si="58"/>
        <v>#N/A</v>
      </c>
      <c r="CO21" s="488" t="e">
        <f t="shared" si="32"/>
        <v>#N/A</v>
      </c>
      <c r="CP21" s="488" t="e">
        <f t="shared" si="33"/>
        <v>#N/A</v>
      </c>
      <c r="CQ21" s="488" t="e">
        <f t="shared" si="34"/>
        <v>#N/A</v>
      </c>
      <c r="CR21" s="488" t="e">
        <f t="shared" si="35"/>
        <v>#N/A</v>
      </c>
      <c r="CS21" s="35"/>
      <c r="CT21" s="35"/>
      <c r="CU21" s="35"/>
      <c r="CV21" s="35"/>
    </row>
    <row r="22" spans="1:100" x14ac:dyDescent="0.25">
      <c r="A22" s="319"/>
      <c r="B22" s="152">
        <f t="shared" si="59"/>
        <v>0.5833333333338</v>
      </c>
      <c r="C22" s="205" t="e">
        <f t="shared" si="0"/>
        <v>#N/A</v>
      </c>
      <c r="D22" s="550" t="str">
        <f t="shared" si="36"/>
        <v>YES</v>
      </c>
      <c r="E22" s="178" t="e">
        <f t="shared" si="37"/>
        <v>#N/A</v>
      </c>
      <c r="F22" s="162" t="e">
        <f t="shared" si="37"/>
        <v>#N/A</v>
      </c>
      <c r="G22" s="162" t="e">
        <f t="shared" si="37"/>
        <v>#N/A</v>
      </c>
      <c r="H22" s="162" t="e">
        <f t="shared" si="37"/>
        <v>#N/A</v>
      </c>
      <c r="I22" s="162" t="e">
        <f t="shared" si="37"/>
        <v>#N/A</v>
      </c>
      <c r="J22" s="112" t="e">
        <f t="shared" si="37"/>
        <v>#N/A</v>
      </c>
      <c r="K22" s="160" t="e">
        <f t="shared" si="38"/>
        <v>#N/A</v>
      </c>
      <c r="L22" s="162" t="e">
        <f t="shared" si="2"/>
        <v>#N/A</v>
      </c>
      <c r="M22" s="162" t="e">
        <f t="shared" si="3"/>
        <v>#N/A</v>
      </c>
      <c r="N22" s="162" t="e">
        <f t="shared" si="4"/>
        <v>#N/A</v>
      </c>
      <c r="O22" s="162" t="e">
        <f t="shared" si="5"/>
        <v>#N/A</v>
      </c>
      <c r="P22" s="112" t="e">
        <f t="shared" si="6"/>
        <v>#N/A</v>
      </c>
      <c r="Q22" s="178" t="e">
        <f t="shared" si="39"/>
        <v>#N/A</v>
      </c>
      <c r="R22" s="162" t="e">
        <f t="shared" si="7"/>
        <v>#N/A</v>
      </c>
      <c r="S22" s="162" t="e">
        <f t="shared" si="8"/>
        <v>#N/A</v>
      </c>
      <c r="T22" s="162" t="e">
        <f t="shared" si="9"/>
        <v>#N/A</v>
      </c>
      <c r="U22" s="162" t="e">
        <f t="shared" si="10"/>
        <v>#N/A</v>
      </c>
      <c r="V22" s="112" t="e">
        <f t="shared" si="11"/>
        <v>#N/A</v>
      </c>
      <c r="W22" s="178" t="e">
        <f t="shared" si="40"/>
        <v>#N/A</v>
      </c>
      <c r="X22" s="162" t="e">
        <f t="shared" si="12"/>
        <v>#N/A</v>
      </c>
      <c r="Y22" s="162" t="e">
        <f t="shared" si="13"/>
        <v>#N/A</v>
      </c>
      <c r="Z22" s="162" t="e">
        <f t="shared" si="14"/>
        <v>#N/A</v>
      </c>
      <c r="AA22" s="162" t="e">
        <f t="shared" si="15"/>
        <v>#N/A</v>
      </c>
      <c r="AB22" s="112" t="e">
        <f t="shared" si="16"/>
        <v>#N/A</v>
      </c>
      <c r="AC22" s="178" t="e">
        <f t="shared" si="41"/>
        <v>#N/A</v>
      </c>
      <c r="AD22" s="162" t="e">
        <f t="shared" si="17"/>
        <v>#N/A</v>
      </c>
      <c r="AE22" s="162" t="e">
        <f t="shared" si="18"/>
        <v>#N/A</v>
      </c>
      <c r="AF22" s="162" t="e">
        <f t="shared" si="19"/>
        <v>#N/A</v>
      </c>
      <c r="AG22" s="162" t="e">
        <f t="shared" si="20"/>
        <v>#N/A</v>
      </c>
      <c r="AH22" s="162" t="e">
        <f t="shared" si="21"/>
        <v>#N/A</v>
      </c>
      <c r="AJ22" s="166" t="s">
        <v>270</v>
      </c>
      <c r="AK22" s="166" t="s">
        <v>270</v>
      </c>
      <c r="AL22" s="166" t="s">
        <v>270</v>
      </c>
      <c r="AM22" s="166" t="s">
        <v>270</v>
      </c>
      <c r="AN22" s="166" t="s">
        <v>270</v>
      </c>
      <c r="AO22" s="166" t="s">
        <v>270</v>
      </c>
      <c r="AP22" s="208" t="s">
        <v>270</v>
      </c>
      <c r="AQ22" s="162" t="e">
        <f t="shared" si="42"/>
        <v>#N/A</v>
      </c>
      <c r="AR22" s="162" t="e">
        <f t="shared" si="42"/>
        <v>#N/A</v>
      </c>
      <c r="AS22" s="162" t="e">
        <f t="shared" si="42"/>
        <v>#N/A</v>
      </c>
      <c r="AT22" s="162" t="e">
        <f t="shared" si="42"/>
        <v>#N/A</v>
      </c>
      <c r="AU22" s="162" t="e">
        <f t="shared" si="42"/>
        <v>#N/A</v>
      </c>
      <c r="AV22" s="208" t="s">
        <v>270</v>
      </c>
      <c r="AW22" s="162" t="e">
        <f t="shared" si="42"/>
        <v>#N/A</v>
      </c>
      <c r="AX22" s="162" t="e">
        <f t="shared" si="42"/>
        <v>#N/A</v>
      </c>
      <c r="AY22" s="162" t="e">
        <f t="shared" si="42"/>
        <v>#N/A</v>
      </c>
      <c r="AZ22" s="162" t="e">
        <f t="shared" si="42"/>
        <v>#N/A</v>
      </c>
      <c r="BA22" s="162" t="e">
        <f t="shared" si="42"/>
        <v>#N/A</v>
      </c>
      <c r="BB22" s="208" t="s">
        <v>270</v>
      </c>
      <c r="BC22" s="162" t="e">
        <f t="shared" si="43"/>
        <v>#N/A</v>
      </c>
      <c r="BD22" s="162" t="e">
        <f t="shared" si="43"/>
        <v>#N/A</v>
      </c>
      <c r="BE22" s="162" t="e">
        <f t="shared" si="43"/>
        <v>#N/A</v>
      </c>
      <c r="BF22" s="162" t="e">
        <f t="shared" si="43"/>
        <v>#N/A</v>
      </c>
      <c r="BG22" s="162" t="e">
        <f t="shared" si="43"/>
        <v>#N/A</v>
      </c>
      <c r="BH22" s="208" t="s">
        <v>270</v>
      </c>
      <c r="BI22" s="162" t="e">
        <f t="shared" si="44"/>
        <v>#N/A</v>
      </c>
      <c r="BJ22" s="162" t="e">
        <f t="shared" si="44"/>
        <v>#N/A</v>
      </c>
      <c r="BK22" s="162" t="e">
        <f t="shared" si="44"/>
        <v>#N/A</v>
      </c>
      <c r="BL22" s="162" t="e">
        <f t="shared" si="44"/>
        <v>#N/A</v>
      </c>
      <c r="BM22" s="162" t="e">
        <f t="shared" si="44"/>
        <v>#N/A</v>
      </c>
      <c r="BO22" s="162" t="e">
        <f t="shared" si="45"/>
        <v>#N/A</v>
      </c>
      <c r="BP22" s="162" t="e">
        <f t="shared" si="46"/>
        <v>#N/A</v>
      </c>
      <c r="BQ22" s="162" t="e">
        <f t="shared" si="47"/>
        <v>#N/A</v>
      </c>
      <c r="BR22" s="162" t="e">
        <f t="shared" si="48"/>
        <v>#N/A</v>
      </c>
      <c r="BS22" s="162" t="e">
        <f t="shared" si="49"/>
        <v>#N/A</v>
      </c>
      <c r="BT22" s="112" t="e">
        <f t="shared" si="50"/>
        <v>#N/A</v>
      </c>
      <c r="BU22" s="178" t="e">
        <f t="shared" si="51"/>
        <v>#N/A</v>
      </c>
      <c r="BV22" s="488" t="e">
        <f t="shared" si="52"/>
        <v>#N/A</v>
      </c>
      <c r="BW22" s="488" t="e">
        <f t="shared" si="23"/>
        <v>#N/A</v>
      </c>
      <c r="BX22" s="488" t="e">
        <f t="shared" si="23"/>
        <v>#N/A</v>
      </c>
      <c r="BY22" s="488" t="e">
        <f t="shared" si="23"/>
        <v>#N/A</v>
      </c>
      <c r="BZ22" s="488" t="e">
        <f t="shared" si="23"/>
        <v>#N/A</v>
      </c>
      <c r="CA22" s="178" t="e">
        <f t="shared" si="53"/>
        <v>#N/A</v>
      </c>
      <c r="CB22" s="488" t="e">
        <f t="shared" si="54"/>
        <v>#N/A</v>
      </c>
      <c r="CC22" s="488" t="e">
        <f t="shared" si="24"/>
        <v>#N/A</v>
      </c>
      <c r="CD22" s="488" t="e">
        <f t="shared" si="25"/>
        <v>#N/A</v>
      </c>
      <c r="CE22" s="488" t="e">
        <f t="shared" si="26"/>
        <v>#N/A</v>
      </c>
      <c r="CF22" s="488" t="e">
        <f t="shared" si="27"/>
        <v>#N/A</v>
      </c>
      <c r="CG22" s="178" t="e">
        <f t="shared" si="55"/>
        <v>#N/A</v>
      </c>
      <c r="CH22" s="488" t="e">
        <f t="shared" si="56"/>
        <v>#N/A</v>
      </c>
      <c r="CI22" s="488" t="e">
        <f t="shared" si="28"/>
        <v>#N/A</v>
      </c>
      <c r="CJ22" s="488" t="e">
        <f t="shared" si="29"/>
        <v>#N/A</v>
      </c>
      <c r="CK22" s="488" t="e">
        <f t="shared" si="30"/>
        <v>#N/A</v>
      </c>
      <c r="CL22" s="488" t="e">
        <f t="shared" si="31"/>
        <v>#N/A</v>
      </c>
      <c r="CM22" s="178" t="e">
        <f t="shared" si="57"/>
        <v>#N/A</v>
      </c>
      <c r="CN22" s="488" t="e">
        <f t="shared" si="58"/>
        <v>#N/A</v>
      </c>
      <c r="CO22" s="488" t="e">
        <f t="shared" si="32"/>
        <v>#N/A</v>
      </c>
      <c r="CP22" s="488" t="e">
        <f t="shared" si="33"/>
        <v>#N/A</v>
      </c>
      <c r="CQ22" s="488" t="e">
        <f t="shared" si="34"/>
        <v>#N/A</v>
      </c>
      <c r="CR22" s="488" t="e">
        <f t="shared" si="35"/>
        <v>#N/A</v>
      </c>
      <c r="CS22" s="35"/>
      <c r="CT22" s="35"/>
      <c r="CU22" s="35"/>
      <c r="CV22" s="35"/>
    </row>
    <row r="23" spans="1:100" x14ac:dyDescent="0.25">
      <c r="A23" s="319"/>
      <c r="B23" s="152">
        <f t="shared" si="59"/>
        <v>0.62500000000050004</v>
      </c>
      <c r="C23" s="205" t="e">
        <f t="shared" si="0"/>
        <v>#N/A</v>
      </c>
      <c r="D23" s="550" t="str">
        <f t="shared" si="36"/>
        <v>YES</v>
      </c>
      <c r="E23" s="178" t="e">
        <f t="shared" si="37"/>
        <v>#N/A</v>
      </c>
      <c r="F23" s="162" t="e">
        <f t="shared" si="37"/>
        <v>#N/A</v>
      </c>
      <c r="G23" s="162" t="e">
        <f t="shared" si="37"/>
        <v>#N/A</v>
      </c>
      <c r="H23" s="162" t="e">
        <f t="shared" si="37"/>
        <v>#N/A</v>
      </c>
      <c r="I23" s="162" t="e">
        <f t="shared" si="37"/>
        <v>#N/A</v>
      </c>
      <c r="J23" s="112" t="e">
        <f t="shared" si="37"/>
        <v>#N/A</v>
      </c>
      <c r="K23" s="160" t="e">
        <f t="shared" si="38"/>
        <v>#N/A</v>
      </c>
      <c r="L23" s="162" t="e">
        <f t="shared" si="2"/>
        <v>#N/A</v>
      </c>
      <c r="M23" s="162" t="e">
        <f t="shared" si="3"/>
        <v>#N/A</v>
      </c>
      <c r="N23" s="162" t="e">
        <f t="shared" si="4"/>
        <v>#N/A</v>
      </c>
      <c r="O23" s="162" t="e">
        <f t="shared" si="5"/>
        <v>#N/A</v>
      </c>
      <c r="P23" s="112" t="e">
        <f t="shared" si="6"/>
        <v>#N/A</v>
      </c>
      <c r="Q23" s="178" t="e">
        <f t="shared" si="39"/>
        <v>#N/A</v>
      </c>
      <c r="R23" s="162" t="e">
        <f t="shared" si="7"/>
        <v>#N/A</v>
      </c>
      <c r="S23" s="162" t="e">
        <f t="shared" si="8"/>
        <v>#N/A</v>
      </c>
      <c r="T23" s="162" t="e">
        <f t="shared" si="9"/>
        <v>#N/A</v>
      </c>
      <c r="U23" s="162" t="e">
        <f t="shared" si="10"/>
        <v>#N/A</v>
      </c>
      <c r="V23" s="112" t="e">
        <f t="shared" si="11"/>
        <v>#N/A</v>
      </c>
      <c r="W23" s="178" t="e">
        <f t="shared" si="40"/>
        <v>#N/A</v>
      </c>
      <c r="X23" s="162" t="e">
        <f t="shared" si="12"/>
        <v>#N/A</v>
      </c>
      <c r="Y23" s="162" t="e">
        <f t="shared" si="13"/>
        <v>#N/A</v>
      </c>
      <c r="Z23" s="162" t="e">
        <f t="shared" si="14"/>
        <v>#N/A</v>
      </c>
      <c r="AA23" s="162" t="e">
        <f t="shared" si="15"/>
        <v>#N/A</v>
      </c>
      <c r="AB23" s="112" t="e">
        <f t="shared" si="16"/>
        <v>#N/A</v>
      </c>
      <c r="AC23" s="178" t="e">
        <f t="shared" si="41"/>
        <v>#N/A</v>
      </c>
      <c r="AD23" s="162" t="e">
        <f t="shared" si="17"/>
        <v>#N/A</v>
      </c>
      <c r="AE23" s="162" t="e">
        <f t="shared" si="18"/>
        <v>#N/A</v>
      </c>
      <c r="AF23" s="162" t="e">
        <f t="shared" si="19"/>
        <v>#N/A</v>
      </c>
      <c r="AG23" s="162" t="e">
        <f t="shared" si="20"/>
        <v>#N/A</v>
      </c>
      <c r="AH23" s="162" t="e">
        <f t="shared" si="21"/>
        <v>#N/A</v>
      </c>
      <c r="AJ23" s="166" t="s">
        <v>270</v>
      </c>
      <c r="AK23" s="166" t="s">
        <v>270</v>
      </c>
      <c r="AL23" s="166" t="s">
        <v>270</v>
      </c>
      <c r="AM23" s="166" t="s">
        <v>270</v>
      </c>
      <c r="AN23" s="166" t="s">
        <v>270</v>
      </c>
      <c r="AO23" s="166" t="s">
        <v>270</v>
      </c>
      <c r="AP23" s="208" t="s">
        <v>270</v>
      </c>
      <c r="AQ23" s="162" t="e">
        <f t="shared" si="42"/>
        <v>#N/A</v>
      </c>
      <c r="AR23" s="162" t="e">
        <f t="shared" si="42"/>
        <v>#N/A</v>
      </c>
      <c r="AS23" s="162" t="e">
        <f t="shared" si="42"/>
        <v>#N/A</v>
      </c>
      <c r="AT23" s="162" t="e">
        <f t="shared" si="42"/>
        <v>#N/A</v>
      </c>
      <c r="AU23" s="162" t="e">
        <f t="shared" si="42"/>
        <v>#N/A</v>
      </c>
      <c r="AV23" s="208" t="s">
        <v>270</v>
      </c>
      <c r="AW23" s="162" t="e">
        <f t="shared" si="42"/>
        <v>#N/A</v>
      </c>
      <c r="AX23" s="162" t="e">
        <f t="shared" si="42"/>
        <v>#N/A</v>
      </c>
      <c r="AY23" s="162" t="e">
        <f t="shared" si="42"/>
        <v>#N/A</v>
      </c>
      <c r="AZ23" s="162" t="e">
        <f t="shared" si="42"/>
        <v>#N/A</v>
      </c>
      <c r="BA23" s="162" t="e">
        <f t="shared" si="42"/>
        <v>#N/A</v>
      </c>
      <c r="BB23" s="208" t="s">
        <v>270</v>
      </c>
      <c r="BC23" s="162" t="e">
        <f t="shared" si="43"/>
        <v>#N/A</v>
      </c>
      <c r="BD23" s="162" t="e">
        <f t="shared" si="43"/>
        <v>#N/A</v>
      </c>
      <c r="BE23" s="162" t="e">
        <f t="shared" si="43"/>
        <v>#N/A</v>
      </c>
      <c r="BF23" s="162" t="e">
        <f t="shared" si="43"/>
        <v>#N/A</v>
      </c>
      <c r="BG23" s="162" t="e">
        <f t="shared" si="43"/>
        <v>#N/A</v>
      </c>
      <c r="BH23" s="208" t="s">
        <v>270</v>
      </c>
      <c r="BI23" s="162" t="e">
        <f t="shared" si="44"/>
        <v>#N/A</v>
      </c>
      <c r="BJ23" s="162" t="e">
        <f t="shared" si="44"/>
        <v>#N/A</v>
      </c>
      <c r="BK23" s="162" t="e">
        <f t="shared" si="44"/>
        <v>#N/A</v>
      </c>
      <c r="BL23" s="162" t="e">
        <f t="shared" si="44"/>
        <v>#N/A</v>
      </c>
      <c r="BM23" s="162" t="e">
        <f t="shared" si="44"/>
        <v>#N/A</v>
      </c>
      <c r="BO23" s="162" t="e">
        <f t="shared" si="45"/>
        <v>#N/A</v>
      </c>
      <c r="BP23" s="162" t="e">
        <f t="shared" si="46"/>
        <v>#N/A</v>
      </c>
      <c r="BQ23" s="162" t="e">
        <f t="shared" si="47"/>
        <v>#N/A</v>
      </c>
      <c r="BR23" s="162" t="e">
        <f t="shared" si="48"/>
        <v>#N/A</v>
      </c>
      <c r="BS23" s="162" t="e">
        <f t="shared" si="49"/>
        <v>#N/A</v>
      </c>
      <c r="BT23" s="112" t="e">
        <f t="shared" si="50"/>
        <v>#N/A</v>
      </c>
      <c r="BU23" s="178" t="e">
        <f t="shared" si="51"/>
        <v>#N/A</v>
      </c>
      <c r="BV23" s="488" t="e">
        <f t="shared" si="52"/>
        <v>#N/A</v>
      </c>
      <c r="BW23" s="488" t="e">
        <f t="shared" si="23"/>
        <v>#N/A</v>
      </c>
      <c r="BX23" s="488" t="e">
        <f t="shared" si="23"/>
        <v>#N/A</v>
      </c>
      <c r="BY23" s="488" t="e">
        <f t="shared" si="23"/>
        <v>#N/A</v>
      </c>
      <c r="BZ23" s="488" t="e">
        <f t="shared" si="23"/>
        <v>#N/A</v>
      </c>
      <c r="CA23" s="178" t="e">
        <f t="shared" si="53"/>
        <v>#N/A</v>
      </c>
      <c r="CB23" s="488" t="e">
        <f t="shared" si="54"/>
        <v>#N/A</v>
      </c>
      <c r="CC23" s="488" t="e">
        <f t="shared" si="24"/>
        <v>#N/A</v>
      </c>
      <c r="CD23" s="488" t="e">
        <f t="shared" si="25"/>
        <v>#N/A</v>
      </c>
      <c r="CE23" s="488" t="e">
        <f t="shared" si="26"/>
        <v>#N/A</v>
      </c>
      <c r="CF23" s="488" t="e">
        <f t="shared" si="27"/>
        <v>#N/A</v>
      </c>
      <c r="CG23" s="178" t="e">
        <f t="shared" si="55"/>
        <v>#N/A</v>
      </c>
      <c r="CH23" s="488" t="e">
        <f t="shared" si="56"/>
        <v>#N/A</v>
      </c>
      <c r="CI23" s="488" t="e">
        <f t="shared" si="28"/>
        <v>#N/A</v>
      </c>
      <c r="CJ23" s="488" t="e">
        <f t="shared" si="29"/>
        <v>#N/A</v>
      </c>
      <c r="CK23" s="488" t="e">
        <f t="shared" si="30"/>
        <v>#N/A</v>
      </c>
      <c r="CL23" s="488" t="e">
        <f t="shared" si="31"/>
        <v>#N/A</v>
      </c>
      <c r="CM23" s="178" t="e">
        <f t="shared" si="57"/>
        <v>#N/A</v>
      </c>
      <c r="CN23" s="488" t="e">
        <f t="shared" si="58"/>
        <v>#N/A</v>
      </c>
      <c r="CO23" s="488" t="e">
        <f t="shared" si="32"/>
        <v>#N/A</v>
      </c>
      <c r="CP23" s="488" t="e">
        <f t="shared" si="33"/>
        <v>#N/A</v>
      </c>
      <c r="CQ23" s="488" t="e">
        <f t="shared" si="34"/>
        <v>#N/A</v>
      </c>
      <c r="CR23" s="488" t="e">
        <f t="shared" si="35"/>
        <v>#N/A</v>
      </c>
      <c r="CS23" s="35"/>
      <c r="CT23" s="35"/>
      <c r="CU23" s="35"/>
      <c r="CV23" s="35"/>
    </row>
    <row r="24" spans="1:100" x14ac:dyDescent="0.25">
      <c r="A24" s="319"/>
      <c r="B24" s="152">
        <f t="shared" si="59"/>
        <v>0.66666666666719998</v>
      </c>
      <c r="C24" s="205" t="e">
        <f t="shared" si="0"/>
        <v>#N/A</v>
      </c>
      <c r="D24" s="550" t="str">
        <f t="shared" si="36"/>
        <v>YES</v>
      </c>
      <c r="E24" s="178" t="e">
        <f t="shared" si="37"/>
        <v>#N/A</v>
      </c>
      <c r="F24" s="162" t="e">
        <f t="shared" si="37"/>
        <v>#N/A</v>
      </c>
      <c r="G24" s="162" t="e">
        <f t="shared" si="37"/>
        <v>#N/A</v>
      </c>
      <c r="H24" s="162" t="e">
        <f t="shared" si="37"/>
        <v>#N/A</v>
      </c>
      <c r="I24" s="162" t="e">
        <f t="shared" si="37"/>
        <v>#N/A</v>
      </c>
      <c r="J24" s="112" t="e">
        <f t="shared" si="37"/>
        <v>#N/A</v>
      </c>
      <c r="K24" s="160" t="e">
        <f t="shared" si="38"/>
        <v>#N/A</v>
      </c>
      <c r="L24" s="162" t="e">
        <f t="shared" si="2"/>
        <v>#N/A</v>
      </c>
      <c r="M24" s="162" t="e">
        <f t="shared" si="3"/>
        <v>#N/A</v>
      </c>
      <c r="N24" s="162" t="e">
        <f t="shared" si="4"/>
        <v>#N/A</v>
      </c>
      <c r="O24" s="162" t="e">
        <f t="shared" si="5"/>
        <v>#N/A</v>
      </c>
      <c r="P24" s="112" t="e">
        <f t="shared" si="6"/>
        <v>#N/A</v>
      </c>
      <c r="Q24" s="178" t="e">
        <f t="shared" si="39"/>
        <v>#N/A</v>
      </c>
      <c r="R24" s="162" t="e">
        <f t="shared" si="7"/>
        <v>#N/A</v>
      </c>
      <c r="S24" s="162" t="e">
        <f t="shared" si="8"/>
        <v>#N/A</v>
      </c>
      <c r="T24" s="162" t="e">
        <f t="shared" si="9"/>
        <v>#N/A</v>
      </c>
      <c r="U24" s="162" t="e">
        <f t="shared" si="10"/>
        <v>#N/A</v>
      </c>
      <c r="V24" s="112" t="e">
        <f t="shared" si="11"/>
        <v>#N/A</v>
      </c>
      <c r="W24" s="178" t="e">
        <f t="shared" si="40"/>
        <v>#N/A</v>
      </c>
      <c r="X24" s="162" t="e">
        <f t="shared" si="12"/>
        <v>#N/A</v>
      </c>
      <c r="Y24" s="162" t="e">
        <f t="shared" si="13"/>
        <v>#N/A</v>
      </c>
      <c r="Z24" s="162" t="e">
        <f t="shared" si="14"/>
        <v>#N/A</v>
      </c>
      <c r="AA24" s="162" t="e">
        <f t="shared" si="15"/>
        <v>#N/A</v>
      </c>
      <c r="AB24" s="112" t="e">
        <f t="shared" si="16"/>
        <v>#N/A</v>
      </c>
      <c r="AC24" s="178" t="e">
        <f t="shared" si="41"/>
        <v>#N/A</v>
      </c>
      <c r="AD24" s="162" t="e">
        <f t="shared" si="17"/>
        <v>#N/A</v>
      </c>
      <c r="AE24" s="162" t="e">
        <f t="shared" si="18"/>
        <v>#N/A</v>
      </c>
      <c r="AF24" s="162" t="e">
        <f t="shared" si="19"/>
        <v>#N/A</v>
      </c>
      <c r="AG24" s="162" t="e">
        <f t="shared" si="20"/>
        <v>#N/A</v>
      </c>
      <c r="AH24" s="162" t="e">
        <f t="shared" si="21"/>
        <v>#N/A</v>
      </c>
      <c r="AJ24" s="166" t="s">
        <v>270</v>
      </c>
      <c r="AK24" s="166" t="s">
        <v>270</v>
      </c>
      <c r="AL24" s="166" t="s">
        <v>270</v>
      </c>
      <c r="AM24" s="166" t="s">
        <v>270</v>
      </c>
      <c r="AN24" s="166" t="s">
        <v>270</v>
      </c>
      <c r="AO24" s="166" t="s">
        <v>270</v>
      </c>
      <c r="AP24" s="208" t="s">
        <v>270</v>
      </c>
      <c r="AQ24" s="162" t="e">
        <f t="shared" si="42"/>
        <v>#N/A</v>
      </c>
      <c r="AR24" s="162" t="e">
        <f t="shared" si="42"/>
        <v>#N/A</v>
      </c>
      <c r="AS24" s="162" t="e">
        <f t="shared" si="42"/>
        <v>#N/A</v>
      </c>
      <c r="AT24" s="162" t="e">
        <f t="shared" si="42"/>
        <v>#N/A</v>
      </c>
      <c r="AU24" s="162" t="e">
        <f t="shared" si="42"/>
        <v>#N/A</v>
      </c>
      <c r="AV24" s="208" t="s">
        <v>270</v>
      </c>
      <c r="AW24" s="162" t="e">
        <f t="shared" si="42"/>
        <v>#N/A</v>
      </c>
      <c r="AX24" s="162" t="e">
        <f t="shared" si="42"/>
        <v>#N/A</v>
      </c>
      <c r="AY24" s="162" t="e">
        <f t="shared" si="42"/>
        <v>#N/A</v>
      </c>
      <c r="AZ24" s="162" t="e">
        <f t="shared" si="42"/>
        <v>#N/A</v>
      </c>
      <c r="BA24" s="162" t="e">
        <f t="shared" si="42"/>
        <v>#N/A</v>
      </c>
      <c r="BB24" s="208" t="s">
        <v>270</v>
      </c>
      <c r="BC24" s="162" t="e">
        <f t="shared" si="43"/>
        <v>#N/A</v>
      </c>
      <c r="BD24" s="162" t="e">
        <f t="shared" si="43"/>
        <v>#N/A</v>
      </c>
      <c r="BE24" s="162" t="e">
        <f t="shared" si="43"/>
        <v>#N/A</v>
      </c>
      <c r="BF24" s="162" t="e">
        <f t="shared" si="43"/>
        <v>#N/A</v>
      </c>
      <c r="BG24" s="162" t="e">
        <f t="shared" si="43"/>
        <v>#N/A</v>
      </c>
      <c r="BH24" s="208" t="s">
        <v>270</v>
      </c>
      <c r="BI24" s="162" t="e">
        <f t="shared" si="44"/>
        <v>#N/A</v>
      </c>
      <c r="BJ24" s="162" t="e">
        <f t="shared" si="44"/>
        <v>#N/A</v>
      </c>
      <c r="BK24" s="162" t="e">
        <f t="shared" si="44"/>
        <v>#N/A</v>
      </c>
      <c r="BL24" s="162" t="e">
        <f t="shared" si="44"/>
        <v>#N/A</v>
      </c>
      <c r="BM24" s="162" t="e">
        <f t="shared" si="44"/>
        <v>#N/A</v>
      </c>
      <c r="BO24" s="162" t="e">
        <f t="shared" si="45"/>
        <v>#N/A</v>
      </c>
      <c r="BP24" s="162" t="e">
        <f t="shared" si="46"/>
        <v>#N/A</v>
      </c>
      <c r="BQ24" s="162" t="e">
        <f t="shared" si="47"/>
        <v>#N/A</v>
      </c>
      <c r="BR24" s="162" t="e">
        <f t="shared" si="48"/>
        <v>#N/A</v>
      </c>
      <c r="BS24" s="162" t="e">
        <f t="shared" si="49"/>
        <v>#N/A</v>
      </c>
      <c r="BT24" s="112" t="e">
        <f t="shared" si="50"/>
        <v>#N/A</v>
      </c>
      <c r="BU24" s="178" t="e">
        <f t="shared" si="51"/>
        <v>#N/A</v>
      </c>
      <c r="BV24" s="488" t="e">
        <f t="shared" si="52"/>
        <v>#N/A</v>
      </c>
      <c r="BW24" s="488" t="e">
        <f t="shared" ref="BW24:BW31" si="60">M24+AR24</f>
        <v>#N/A</v>
      </c>
      <c r="BX24" s="488" t="e">
        <f t="shared" ref="BX24:BX31" si="61">N24+AS24</f>
        <v>#N/A</v>
      </c>
      <c r="BY24" s="488" t="e">
        <f t="shared" ref="BY24:BY31" si="62">O24+AT24</f>
        <v>#N/A</v>
      </c>
      <c r="BZ24" s="488" t="e">
        <f t="shared" ref="BZ24:BZ31" si="63">P24+AU24</f>
        <v>#N/A</v>
      </c>
      <c r="CA24" s="178" t="e">
        <f t="shared" si="53"/>
        <v>#N/A</v>
      </c>
      <c r="CB24" s="488" t="e">
        <f t="shared" si="54"/>
        <v>#N/A</v>
      </c>
      <c r="CC24" s="488" t="e">
        <f t="shared" si="24"/>
        <v>#N/A</v>
      </c>
      <c r="CD24" s="488" t="e">
        <f t="shared" si="25"/>
        <v>#N/A</v>
      </c>
      <c r="CE24" s="488" t="e">
        <f t="shared" si="26"/>
        <v>#N/A</v>
      </c>
      <c r="CF24" s="488" t="e">
        <f t="shared" si="27"/>
        <v>#N/A</v>
      </c>
      <c r="CG24" s="178" t="e">
        <f t="shared" si="55"/>
        <v>#N/A</v>
      </c>
      <c r="CH24" s="488" t="e">
        <f t="shared" si="56"/>
        <v>#N/A</v>
      </c>
      <c r="CI24" s="488" t="e">
        <f t="shared" si="28"/>
        <v>#N/A</v>
      </c>
      <c r="CJ24" s="488" t="e">
        <f t="shared" si="29"/>
        <v>#N/A</v>
      </c>
      <c r="CK24" s="488" t="e">
        <f t="shared" si="30"/>
        <v>#N/A</v>
      </c>
      <c r="CL24" s="488" t="e">
        <f t="shared" si="31"/>
        <v>#N/A</v>
      </c>
      <c r="CM24" s="178" t="e">
        <f t="shared" si="57"/>
        <v>#N/A</v>
      </c>
      <c r="CN24" s="488" t="e">
        <f t="shared" si="58"/>
        <v>#N/A</v>
      </c>
      <c r="CO24" s="488" t="e">
        <f t="shared" si="32"/>
        <v>#N/A</v>
      </c>
      <c r="CP24" s="488" t="e">
        <f t="shared" si="33"/>
        <v>#N/A</v>
      </c>
      <c r="CQ24" s="488" t="e">
        <f t="shared" si="34"/>
        <v>#N/A</v>
      </c>
      <c r="CR24" s="488" t="e">
        <f t="shared" si="35"/>
        <v>#N/A</v>
      </c>
      <c r="CS24" s="35"/>
      <c r="CT24" s="35"/>
      <c r="CU24" s="35"/>
      <c r="CV24" s="35"/>
    </row>
    <row r="25" spans="1:100" x14ac:dyDescent="0.25">
      <c r="A25" s="319"/>
      <c r="B25" s="152">
        <f t="shared" si="59"/>
        <v>0.70833333333390003</v>
      </c>
      <c r="C25" s="205" t="e">
        <f t="shared" si="0"/>
        <v>#N/A</v>
      </c>
      <c r="D25" s="550" t="str">
        <f t="shared" si="36"/>
        <v>YES</v>
      </c>
      <c r="E25" s="178" t="e">
        <f t="shared" si="37"/>
        <v>#N/A</v>
      </c>
      <c r="F25" s="162" t="e">
        <f t="shared" si="37"/>
        <v>#N/A</v>
      </c>
      <c r="G25" s="162" t="e">
        <f t="shared" si="37"/>
        <v>#N/A</v>
      </c>
      <c r="H25" s="162" t="e">
        <f t="shared" si="37"/>
        <v>#N/A</v>
      </c>
      <c r="I25" s="162" t="e">
        <f t="shared" si="37"/>
        <v>#N/A</v>
      </c>
      <c r="J25" s="112" t="e">
        <f t="shared" si="37"/>
        <v>#N/A</v>
      </c>
      <c r="K25" s="160" t="e">
        <f t="shared" si="38"/>
        <v>#N/A</v>
      </c>
      <c r="L25" s="162" t="e">
        <f t="shared" si="2"/>
        <v>#N/A</v>
      </c>
      <c r="M25" s="162" t="e">
        <f t="shared" si="3"/>
        <v>#N/A</v>
      </c>
      <c r="N25" s="162" t="e">
        <f t="shared" si="4"/>
        <v>#N/A</v>
      </c>
      <c r="O25" s="162" t="e">
        <f t="shared" si="5"/>
        <v>#N/A</v>
      </c>
      <c r="P25" s="112" t="e">
        <f t="shared" si="6"/>
        <v>#N/A</v>
      </c>
      <c r="Q25" s="178" t="e">
        <f t="shared" si="39"/>
        <v>#N/A</v>
      </c>
      <c r="R25" s="162" t="e">
        <f t="shared" si="7"/>
        <v>#N/A</v>
      </c>
      <c r="S25" s="162" t="e">
        <f t="shared" si="8"/>
        <v>#N/A</v>
      </c>
      <c r="T25" s="162" t="e">
        <f t="shared" si="9"/>
        <v>#N/A</v>
      </c>
      <c r="U25" s="162" t="e">
        <f t="shared" si="10"/>
        <v>#N/A</v>
      </c>
      <c r="V25" s="112" t="e">
        <f t="shared" si="11"/>
        <v>#N/A</v>
      </c>
      <c r="W25" s="178" t="e">
        <f t="shared" si="40"/>
        <v>#N/A</v>
      </c>
      <c r="X25" s="162" t="e">
        <f t="shared" si="12"/>
        <v>#N/A</v>
      </c>
      <c r="Y25" s="162" t="e">
        <f t="shared" si="13"/>
        <v>#N/A</v>
      </c>
      <c r="Z25" s="162" t="e">
        <f t="shared" si="14"/>
        <v>#N/A</v>
      </c>
      <c r="AA25" s="162" t="e">
        <f t="shared" si="15"/>
        <v>#N/A</v>
      </c>
      <c r="AB25" s="112" t="e">
        <f t="shared" si="16"/>
        <v>#N/A</v>
      </c>
      <c r="AC25" s="178" t="e">
        <f t="shared" si="41"/>
        <v>#N/A</v>
      </c>
      <c r="AD25" s="162" t="e">
        <f t="shared" si="17"/>
        <v>#N/A</v>
      </c>
      <c r="AE25" s="162" t="e">
        <f t="shared" si="18"/>
        <v>#N/A</v>
      </c>
      <c r="AF25" s="162" t="e">
        <f t="shared" si="19"/>
        <v>#N/A</v>
      </c>
      <c r="AG25" s="162" t="e">
        <f t="shared" si="20"/>
        <v>#N/A</v>
      </c>
      <c r="AH25" s="162" t="e">
        <f t="shared" si="21"/>
        <v>#N/A</v>
      </c>
      <c r="AJ25" s="166" t="s">
        <v>270</v>
      </c>
      <c r="AK25" s="166" t="s">
        <v>270</v>
      </c>
      <c r="AL25" s="166" t="s">
        <v>270</v>
      </c>
      <c r="AM25" s="166" t="s">
        <v>270</v>
      </c>
      <c r="AN25" s="166" t="s">
        <v>270</v>
      </c>
      <c r="AO25" s="166" t="s">
        <v>270</v>
      </c>
      <c r="AP25" s="208" t="s">
        <v>270</v>
      </c>
      <c r="AQ25" s="162" t="e">
        <f t="shared" si="42"/>
        <v>#N/A</v>
      </c>
      <c r="AR25" s="162" t="e">
        <f t="shared" si="42"/>
        <v>#N/A</v>
      </c>
      <c r="AS25" s="162" t="e">
        <f t="shared" si="42"/>
        <v>#N/A</v>
      </c>
      <c r="AT25" s="162" t="e">
        <f t="shared" si="42"/>
        <v>#N/A</v>
      </c>
      <c r="AU25" s="162" t="e">
        <f t="shared" si="42"/>
        <v>#N/A</v>
      </c>
      <c r="AV25" s="208" t="s">
        <v>270</v>
      </c>
      <c r="AW25" s="162" t="e">
        <f t="shared" si="42"/>
        <v>#N/A</v>
      </c>
      <c r="AX25" s="162" t="e">
        <f t="shared" si="42"/>
        <v>#N/A</v>
      </c>
      <c r="AY25" s="162" t="e">
        <f t="shared" si="42"/>
        <v>#N/A</v>
      </c>
      <c r="AZ25" s="162" t="e">
        <f t="shared" si="42"/>
        <v>#N/A</v>
      </c>
      <c r="BA25" s="162" t="e">
        <f t="shared" si="42"/>
        <v>#N/A</v>
      </c>
      <c r="BB25" s="208" t="s">
        <v>270</v>
      </c>
      <c r="BC25" s="162" t="e">
        <f t="shared" si="43"/>
        <v>#N/A</v>
      </c>
      <c r="BD25" s="162" t="e">
        <f t="shared" si="43"/>
        <v>#N/A</v>
      </c>
      <c r="BE25" s="162" t="e">
        <f t="shared" si="43"/>
        <v>#N/A</v>
      </c>
      <c r="BF25" s="162" t="e">
        <f t="shared" si="43"/>
        <v>#N/A</v>
      </c>
      <c r="BG25" s="162" t="e">
        <f t="shared" si="43"/>
        <v>#N/A</v>
      </c>
      <c r="BH25" s="208" t="s">
        <v>270</v>
      </c>
      <c r="BI25" s="162" t="e">
        <f t="shared" si="44"/>
        <v>#N/A</v>
      </c>
      <c r="BJ25" s="162" t="e">
        <f t="shared" si="44"/>
        <v>#N/A</v>
      </c>
      <c r="BK25" s="162" t="e">
        <f t="shared" si="44"/>
        <v>#N/A</v>
      </c>
      <c r="BL25" s="162" t="e">
        <f t="shared" si="44"/>
        <v>#N/A</v>
      </c>
      <c r="BM25" s="162" t="e">
        <f t="shared" si="44"/>
        <v>#N/A</v>
      </c>
      <c r="BO25" s="162" t="e">
        <f t="shared" si="45"/>
        <v>#N/A</v>
      </c>
      <c r="BP25" s="162" t="e">
        <f t="shared" si="46"/>
        <v>#N/A</v>
      </c>
      <c r="BQ25" s="162" t="e">
        <f t="shared" si="47"/>
        <v>#N/A</v>
      </c>
      <c r="BR25" s="162" t="e">
        <f t="shared" si="48"/>
        <v>#N/A</v>
      </c>
      <c r="BS25" s="162" t="e">
        <f t="shared" si="49"/>
        <v>#N/A</v>
      </c>
      <c r="BT25" s="112" t="e">
        <f t="shared" si="50"/>
        <v>#N/A</v>
      </c>
      <c r="BU25" s="178" t="e">
        <f t="shared" si="51"/>
        <v>#N/A</v>
      </c>
      <c r="BV25" s="488" t="e">
        <f t="shared" si="52"/>
        <v>#N/A</v>
      </c>
      <c r="BW25" s="488" t="e">
        <f t="shared" si="60"/>
        <v>#N/A</v>
      </c>
      <c r="BX25" s="488" t="e">
        <f t="shared" si="61"/>
        <v>#N/A</v>
      </c>
      <c r="BY25" s="488" t="e">
        <f t="shared" si="62"/>
        <v>#N/A</v>
      </c>
      <c r="BZ25" s="488" t="e">
        <f t="shared" si="63"/>
        <v>#N/A</v>
      </c>
      <c r="CA25" s="178" t="e">
        <f t="shared" si="53"/>
        <v>#N/A</v>
      </c>
      <c r="CB25" s="488" t="e">
        <f t="shared" si="54"/>
        <v>#N/A</v>
      </c>
      <c r="CC25" s="488" t="e">
        <f t="shared" si="24"/>
        <v>#N/A</v>
      </c>
      <c r="CD25" s="488" t="e">
        <f t="shared" si="25"/>
        <v>#N/A</v>
      </c>
      <c r="CE25" s="488" t="e">
        <f t="shared" si="26"/>
        <v>#N/A</v>
      </c>
      <c r="CF25" s="488" t="e">
        <f t="shared" si="27"/>
        <v>#N/A</v>
      </c>
      <c r="CG25" s="178" t="e">
        <f t="shared" si="55"/>
        <v>#N/A</v>
      </c>
      <c r="CH25" s="488" t="e">
        <f t="shared" si="56"/>
        <v>#N/A</v>
      </c>
      <c r="CI25" s="488" t="e">
        <f t="shared" si="28"/>
        <v>#N/A</v>
      </c>
      <c r="CJ25" s="488" t="e">
        <f t="shared" si="29"/>
        <v>#N/A</v>
      </c>
      <c r="CK25" s="488" t="e">
        <f t="shared" si="30"/>
        <v>#N/A</v>
      </c>
      <c r="CL25" s="488" t="e">
        <f t="shared" si="31"/>
        <v>#N/A</v>
      </c>
      <c r="CM25" s="178" t="e">
        <f t="shared" si="57"/>
        <v>#N/A</v>
      </c>
      <c r="CN25" s="488" t="e">
        <f t="shared" si="58"/>
        <v>#N/A</v>
      </c>
      <c r="CO25" s="488" t="e">
        <f t="shared" si="32"/>
        <v>#N/A</v>
      </c>
      <c r="CP25" s="488" t="e">
        <f t="shared" si="33"/>
        <v>#N/A</v>
      </c>
      <c r="CQ25" s="488" t="e">
        <f t="shared" si="34"/>
        <v>#N/A</v>
      </c>
      <c r="CR25" s="488" t="e">
        <f t="shared" si="35"/>
        <v>#N/A</v>
      </c>
      <c r="CS25" s="35"/>
      <c r="CT25" s="35"/>
      <c r="CU25" s="35"/>
      <c r="CV25" s="35"/>
    </row>
    <row r="26" spans="1:100" x14ac:dyDescent="0.25">
      <c r="A26" s="319"/>
      <c r="B26" s="152">
        <f t="shared" si="59"/>
        <v>0.75000000000059996</v>
      </c>
      <c r="C26" s="205" t="e">
        <f t="shared" si="0"/>
        <v>#N/A</v>
      </c>
      <c r="D26" s="550" t="str">
        <f t="shared" si="36"/>
        <v>YES</v>
      </c>
      <c r="E26" s="178" t="e">
        <f t="shared" si="37"/>
        <v>#N/A</v>
      </c>
      <c r="F26" s="162" t="e">
        <f t="shared" si="37"/>
        <v>#N/A</v>
      </c>
      <c r="G26" s="162" t="e">
        <f t="shared" si="37"/>
        <v>#N/A</v>
      </c>
      <c r="H26" s="162" t="e">
        <f t="shared" si="37"/>
        <v>#N/A</v>
      </c>
      <c r="I26" s="162" t="e">
        <f t="shared" si="37"/>
        <v>#N/A</v>
      </c>
      <c r="J26" s="112" t="e">
        <f t="shared" si="37"/>
        <v>#N/A</v>
      </c>
      <c r="K26" s="160" t="e">
        <f t="shared" si="38"/>
        <v>#N/A</v>
      </c>
      <c r="L26" s="162" t="e">
        <f t="shared" si="2"/>
        <v>#N/A</v>
      </c>
      <c r="M26" s="162" t="e">
        <f t="shared" si="3"/>
        <v>#N/A</v>
      </c>
      <c r="N26" s="162" t="e">
        <f t="shared" si="4"/>
        <v>#N/A</v>
      </c>
      <c r="O26" s="162" t="e">
        <f t="shared" si="5"/>
        <v>#N/A</v>
      </c>
      <c r="P26" s="112" t="e">
        <f t="shared" si="6"/>
        <v>#N/A</v>
      </c>
      <c r="Q26" s="178" t="e">
        <f t="shared" si="39"/>
        <v>#N/A</v>
      </c>
      <c r="R26" s="162" t="e">
        <f t="shared" si="7"/>
        <v>#N/A</v>
      </c>
      <c r="S26" s="162" t="e">
        <f t="shared" si="8"/>
        <v>#N/A</v>
      </c>
      <c r="T26" s="162" t="e">
        <f t="shared" si="9"/>
        <v>#N/A</v>
      </c>
      <c r="U26" s="162" t="e">
        <f t="shared" si="10"/>
        <v>#N/A</v>
      </c>
      <c r="V26" s="112" t="e">
        <f t="shared" si="11"/>
        <v>#N/A</v>
      </c>
      <c r="W26" s="178" t="e">
        <f t="shared" si="40"/>
        <v>#N/A</v>
      </c>
      <c r="X26" s="162" t="e">
        <f t="shared" si="12"/>
        <v>#N/A</v>
      </c>
      <c r="Y26" s="162" t="e">
        <f t="shared" si="13"/>
        <v>#N/A</v>
      </c>
      <c r="Z26" s="162" t="e">
        <f t="shared" si="14"/>
        <v>#N/A</v>
      </c>
      <c r="AA26" s="162" t="e">
        <f t="shared" si="15"/>
        <v>#N/A</v>
      </c>
      <c r="AB26" s="112" t="e">
        <f t="shared" si="16"/>
        <v>#N/A</v>
      </c>
      <c r="AC26" s="178" t="e">
        <f t="shared" si="41"/>
        <v>#N/A</v>
      </c>
      <c r="AD26" s="162" t="e">
        <f t="shared" si="17"/>
        <v>#N/A</v>
      </c>
      <c r="AE26" s="162" t="e">
        <f t="shared" si="18"/>
        <v>#N/A</v>
      </c>
      <c r="AF26" s="162" t="e">
        <f t="shared" si="19"/>
        <v>#N/A</v>
      </c>
      <c r="AG26" s="162" t="e">
        <f t="shared" si="20"/>
        <v>#N/A</v>
      </c>
      <c r="AH26" s="162" t="e">
        <f t="shared" si="21"/>
        <v>#N/A</v>
      </c>
      <c r="AJ26" s="166" t="s">
        <v>270</v>
      </c>
      <c r="AK26" s="166" t="s">
        <v>270</v>
      </c>
      <c r="AL26" s="166" t="s">
        <v>270</v>
      </c>
      <c r="AM26" s="166" t="s">
        <v>270</v>
      </c>
      <c r="AN26" s="166" t="s">
        <v>270</v>
      </c>
      <c r="AO26" s="166" t="s">
        <v>270</v>
      </c>
      <c r="AP26" s="208" t="s">
        <v>270</v>
      </c>
      <c r="AQ26" s="162" t="e">
        <f t="shared" si="42"/>
        <v>#N/A</v>
      </c>
      <c r="AR26" s="162" t="e">
        <f t="shared" si="42"/>
        <v>#N/A</v>
      </c>
      <c r="AS26" s="162" t="e">
        <f t="shared" si="42"/>
        <v>#N/A</v>
      </c>
      <c r="AT26" s="162" t="e">
        <f t="shared" si="42"/>
        <v>#N/A</v>
      </c>
      <c r="AU26" s="162" t="e">
        <f t="shared" si="42"/>
        <v>#N/A</v>
      </c>
      <c r="AV26" s="208" t="s">
        <v>270</v>
      </c>
      <c r="AW26" s="162" t="e">
        <f t="shared" si="42"/>
        <v>#N/A</v>
      </c>
      <c r="AX26" s="162" t="e">
        <f t="shared" si="42"/>
        <v>#N/A</v>
      </c>
      <c r="AY26" s="162" t="e">
        <f t="shared" si="42"/>
        <v>#N/A</v>
      </c>
      <c r="AZ26" s="162" t="e">
        <f t="shared" si="42"/>
        <v>#N/A</v>
      </c>
      <c r="BA26" s="162" t="e">
        <f t="shared" si="42"/>
        <v>#N/A</v>
      </c>
      <c r="BB26" s="208" t="s">
        <v>270</v>
      </c>
      <c r="BC26" s="162" t="e">
        <f t="shared" si="43"/>
        <v>#N/A</v>
      </c>
      <c r="BD26" s="162" t="e">
        <f t="shared" si="43"/>
        <v>#N/A</v>
      </c>
      <c r="BE26" s="162" t="e">
        <f t="shared" si="43"/>
        <v>#N/A</v>
      </c>
      <c r="BF26" s="162" t="e">
        <f t="shared" si="43"/>
        <v>#N/A</v>
      </c>
      <c r="BG26" s="162" t="e">
        <f t="shared" si="43"/>
        <v>#N/A</v>
      </c>
      <c r="BH26" s="208" t="s">
        <v>270</v>
      </c>
      <c r="BI26" s="162" t="e">
        <f t="shared" si="44"/>
        <v>#N/A</v>
      </c>
      <c r="BJ26" s="162" t="e">
        <f t="shared" si="44"/>
        <v>#N/A</v>
      </c>
      <c r="BK26" s="162" t="e">
        <f t="shared" si="44"/>
        <v>#N/A</v>
      </c>
      <c r="BL26" s="162" t="e">
        <f t="shared" si="44"/>
        <v>#N/A</v>
      </c>
      <c r="BM26" s="162" t="e">
        <f t="shared" si="44"/>
        <v>#N/A</v>
      </c>
      <c r="BO26" s="162" t="e">
        <f t="shared" si="45"/>
        <v>#N/A</v>
      </c>
      <c r="BP26" s="162" t="e">
        <f t="shared" si="46"/>
        <v>#N/A</v>
      </c>
      <c r="BQ26" s="162" t="e">
        <f t="shared" si="47"/>
        <v>#N/A</v>
      </c>
      <c r="BR26" s="162" t="e">
        <f t="shared" si="48"/>
        <v>#N/A</v>
      </c>
      <c r="BS26" s="162" t="e">
        <f t="shared" si="49"/>
        <v>#N/A</v>
      </c>
      <c r="BT26" s="112" t="e">
        <f t="shared" si="50"/>
        <v>#N/A</v>
      </c>
      <c r="BU26" s="178" t="e">
        <f t="shared" si="51"/>
        <v>#N/A</v>
      </c>
      <c r="BV26" s="488" t="e">
        <f t="shared" si="52"/>
        <v>#N/A</v>
      </c>
      <c r="BW26" s="488" t="e">
        <f t="shared" si="60"/>
        <v>#N/A</v>
      </c>
      <c r="BX26" s="488" t="e">
        <f t="shared" si="61"/>
        <v>#N/A</v>
      </c>
      <c r="BY26" s="488" t="e">
        <f t="shared" si="62"/>
        <v>#N/A</v>
      </c>
      <c r="BZ26" s="488" t="e">
        <f t="shared" si="63"/>
        <v>#N/A</v>
      </c>
      <c r="CA26" s="178" t="e">
        <f t="shared" si="53"/>
        <v>#N/A</v>
      </c>
      <c r="CB26" s="488" t="e">
        <f t="shared" si="54"/>
        <v>#N/A</v>
      </c>
      <c r="CC26" s="488" t="e">
        <f t="shared" si="24"/>
        <v>#N/A</v>
      </c>
      <c r="CD26" s="488" t="e">
        <f t="shared" si="25"/>
        <v>#N/A</v>
      </c>
      <c r="CE26" s="488" t="e">
        <f t="shared" si="26"/>
        <v>#N/A</v>
      </c>
      <c r="CF26" s="488" t="e">
        <f t="shared" si="27"/>
        <v>#N/A</v>
      </c>
      <c r="CG26" s="178" t="e">
        <f t="shared" si="55"/>
        <v>#N/A</v>
      </c>
      <c r="CH26" s="488" t="e">
        <f t="shared" si="56"/>
        <v>#N/A</v>
      </c>
      <c r="CI26" s="488" t="e">
        <f t="shared" si="28"/>
        <v>#N/A</v>
      </c>
      <c r="CJ26" s="488" t="e">
        <f t="shared" si="29"/>
        <v>#N/A</v>
      </c>
      <c r="CK26" s="488" t="e">
        <f t="shared" si="30"/>
        <v>#N/A</v>
      </c>
      <c r="CL26" s="488" t="e">
        <f t="shared" si="31"/>
        <v>#N/A</v>
      </c>
      <c r="CM26" s="178" t="e">
        <f t="shared" si="57"/>
        <v>#N/A</v>
      </c>
      <c r="CN26" s="488" t="e">
        <f t="shared" si="58"/>
        <v>#N/A</v>
      </c>
      <c r="CO26" s="488" t="e">
        <f t="shared" si="32"/>
        <v>#N/A</v>
      </c>
      <c r="CP26" s="488" t="e">
        <f t="shared" si="33"/>
        <v>#N/A</v>
      </c>
      <c r="CQ26" s="488" t="e">
        <f t="shared" si="34"/>
        <v>#N/A</v>
      </c>
      <c r="CR26" s="488" t="e">
        <f t="shared" si="35"/>
        <v>#N/A</v>
      </c>
      <c r="CS26" s="35"/>
      <c r="CT26" s="35"/>
      <c r="CU26" s="35"/>
      <c r="CV26" s="35"/>
    </row>
    <row r="27" spans="1:100" x14ac:dyDescent="0.25">
      <c r="A27" s="319"/>
      <c r="B27" s="152">
        <f t="shared" si="59"/>
        <v>0.79166666666730001</v>
      </c>
      <c r="C27" s="205" t="e">
        <f t="shared" si="0"/>
        <v>#N/A</v>
      </c>
      <c r="D27" s="550" t="str">
        <f t="shared" si="36"/>
        <v>YES</v>
      </c>
      <c r="E27" s="178" t="e">
        <f t="shared" si="37"/>
        <v>#N/A</v>
      </c>
      <c r="F27" s="162" t="e">
        <f t="shared" si="37"/>
        <v>#N/A</v>
      </c>
      <c r="G27" s="162" t="e">
        <f t="shared" si="37"/>
        <v>#N/A</v>
      </c>
      <c r="H27" s="162" t="e">
        <f t="shared" si="37"/>
        <v>#N/A</v>
      </c>
      <c r="I27" s="162" t="e">
        <f t="shared" si="37"/>
        <v>#N/A</v>
      </c>
      <c r="J27" s="112" t="e">
        <f t="shared" si="37"/>
        <v>#N/A</v>
      </c>
      <c r="K27" s="160" t="e">
        <f t="shared" si="38"/>
        <v>#N/A</v>
      </c>
      <c r="L27" s="162" t="e">
        <f t="shared" si="2"/>
        <v>#N/A</v>
      </c>
      <c r="M27" s="162" t="e">
        <f t="shared" si="3"/>
        <v>#N/A</v>
      </c>
      <c r="N27" s="162" t="e">
        <f t="shared" si="4"/>
        <v>#N/A</v>
      </c>
      <c r="O27" s="162" t="e">
        <f t="shared" si="5"/>
        <v>#N/A</v>
      </c>
      <c r="P27" s="112" t="e">
        <f t="shared" si="6"/>
        <v>#N/A</v>
      </c>
      <c r="Q27" s="178" t="e">
        <f t="shared" si="39"/>
        <v>#N/A</v>
      </c>
      <c r="R27" s="162" t="e">
        <f t="shared" si="7"/>
        <v>#N/A</v>
      </c>
      <c r="S27" s="162" t="e">
        <f t="shared" si="8"/>
        <v>#N/A</v>
      </c>
      <c r="T27" s="162" t="e">
        <f t="shared" si="9"/>
        <v>#N/A</v>
      </c>
      <c r="U27" s="162" t="e">
        <f t="shared" si="10"/>
        <v>#N/A</v>
      </c>
      <c r="V27" s="112" t="e">
        <f t="shared" si="11"/>
        <v>#N/A</v>
      </c>
      <c r="W27" s="178" t="e">
        <f t="shared" si="40"/>
        <v>#N/A</v>
      </c>
      <c r="X27" s="162" t="e">
        <f t="shared" si="12"/>
        <v>#N/A</v>
      </c>
      <c r="Y27" s="162" t="e">
        <f t="shared" si="13"/>
        <v>#N/A</v>
      </c>
      <c r="Z27" s="162" t="e">
        <f t="shared" si="14"/>
        <v>#N/A</v>
      </c>
      <c r="AA27" s="162" t="e">
        <f t="shared" si="15"/>
        <v>#N/A</v>
      </c>
      <c r="AB27" s="112" t="e">
        <f t="shared" si="16"/>
        <v>#N/A</v>
      </c>
      <c r="AC27" s="178" t="e">
        <f t="shared" si="41"/>
        <v>#N/A</v>
      </c>
      <c r="AD27" s="162" t="e">
        <f t="shared" si="17"/>
        <v>#N/A</v>
      </c>
      <c r="AE27" s="162" t="e">
        <f t="shared" si="18"/>
        <v>#N/A</v>
      </c>
      <c r="AF27" s="162" t="e">
        <f t="shared" si="19"/>
        <v>#N/A</v>
      </c>
      <c r="AG27" s="162" t="e">
        <f t="shared" si="20"/>
        <v>#N/A</v>
      </c>
      <c r="AH27" s="162" t="e">
        <f t="shared" si="21"/>
        <v>#N/A</v>
      </c>
      <c r="AJ27" s="166" t="s">
        <v>270</v>
      </c>
      <c r="AK27" s="166" t="s">
        <v>270</v>
      </c>
      <c r="AL27" s="166" t="s">
        <v>270</v>
      </c>
      <c r="AM27" s="166" t="s">
        <v>270</v>
      </c>
      <c r="AN27" s="166" t="s">
        <v>270</v>
      </c>
      <c r="AO27" s="166" t="s">
        <v>270</v>
      </c>
      <c r="AP27" s="208" t="s">
        <v>270</v>
      </c>
      <c r="AQ27" s="162" t="e">
        <f t="shared" si="42"/>
        <v>#N/A</v>
      </c>
      <c r="AR27" s="162" t="e">
        <f t="shared" si="42"/>
        <v>#N/A</v>
      </c>
      <c r="AS27" s="162" t="e">
        <f t="shared" si="42"/>
        <v>#N/A</v>
      </c>
      <c r="AT27" s="162" t="e">
        <f t="shared" si="42"/>
        <v>#N/A</v>
      </c>
      <c r="AU27" s="162" t="e">
        <f t="shared" si="42"/>
        <v>#N/A</v>
      </c>
      <c r="AV27" s="208" t="s">
        <v>270</v>
      </c>
      <c r="AW27" s="162" t="e">
        <f t="shared" si="42"/>
        <v>#N/A</v>
      </c>
      <c r="AX27" s="162" t="e">
        <f t="shared" si="42"/>
        <v>#N/A</v>
      </c>
      <c r="AY27" s="162" t="e">
        <f t="shared" si="42"/>
        <v>#N/A</v>
      </c>
      <c r="AZ27" s="162" t="e">
        <f t="shared" si="42"/>
        <v>#N/A</v>
      </c>
      <c r="BA27" s="162" t="e">
        <f t="shared" si="42"/>
        <v>#N/A</v>
      </c>
      <c r="BB27" s="208" t="s">
        <v>270</v>
      </c>
      <c r="BC27" s="162" t="e">
        <f t="shared" si="43"/>
        <v>#N/A</v>
      </c>
      <c r="BD27" s="162" t="e">
        <f t="shared" si="43"/>
        <v>#N/A</v>
      </c>
      <c r="BE27" s="162" t="e">
        <f t="shared" si="43"/>
        <v>#N/A</v>
      </c>
      <c r="BF27" s="162" t="e">
        <f t="shared" si="43"/>
        <v>#N/A</v>
      </c>
      <c r="BG27" s="162" t="e">
        <f t="shared" si="43"/>
        <v>#N/A</v>
      </c>
      <c r="BH27" s="208" t="s">
        <v>270</v>
      </c>
      <c r="BI27" s="162" t="e">
        <f t="shared" si="44"/>
        <v>#N/A</v>
      </c>
      <c r="BJ27" s="162" t="e">
        <f t="shared" si="44"/>
        <v>#N/A</v>
      </c>
      <c r="BK27" s="162" t="e">
        <f t="shared" si="44"/>
        <v>#N/A</v>
      </c>
      <c r="BL27" s="162" t="e">
        <f t="shared" si="44"/>
        <v>#N/A</v>
      </c>
      <c r="BM27" s="162" t="e">
        <f t="shared" si="44"/>
        <v>#N/A</v>
      </c>
      <c r="BO27" s="162" t="e">
        <f t="shared" si="45"/>
        <v>#N/A</v>
      </c>
      <c r="BP27" s="162" t="e">
        <f t="shared" si="46"/>
        <v>#N/A</v>
      </c>
      <c r="BQ27" s="162" t="e">
        <f t="shared" si="47"/>
        <v>#N/A</v>
      </c>
      <c r="BR27" s="162" t="e">
        <f t="shared" si="48"/>
        <v>#N/A</v>
      </c>
      <c r="BS27" s="162" t="e">
        <f t="shared" si="49"/>
        <v>#N/A</v>
      </c>
      <c r="BT27" s="112" t="e">
        <f t="shared" si="50"/>
        <v>#N/A</v>
      </c>
      <c r="BU27" s="178" t="e">
        <f t="shared" si="51"/>
        <v>#N/A</v>
      </c>
      <c r="BV27" s="488" t="e">
        <f t="shared" si="52"/>
        <v>#N/A</v>
      </c>
      <c r="BW27" s="488" t="e">
        <f t="shared" si="60"/>
        <v>#N/A</v>
      </c>
      <c r="BX27" s="488" t="e">
        <f t="shared" si="61"/>
        <v>#N/A</v>
      </c>
      <c r="BY27" s="488" t="e">
        <f t="shared" si="62"/>
        <v>#N/A</v>
      </c>
      <c r="BZ27" s="488" t="e">
        <f t="shared" si="63"/>
        <v>#N/A</v>
      </c>
      <c r="CA27" s="178" t="e">
        <f t="shared" si="53"/>
        <v>#N/A</v>
      </c>
      <c r="CB27" s="488" t="e">
        <f t="shared" si="54"/>
        <v>#N/A</v>
      </c>
      <c r="CC27" s="488" t="e">
        <f t="shared" si="24"/>
        <v>#N/A</v>
      </c>
      <c r="CD27" s="488" t="e">
        <f t="shared" si="25"/>
        <v>#N/A</v>
      </c>
      <c r="CE27" s="488" t="e">
        <f t="shared" si="26"/>
        <v>#N/A</v>
      </c>
      <c r="CF27" s="488" t="e">
        <f t="shared" si="27"/>
        <v>#N/A</v>
      </c>
      <c r="CG27" s="178" t="e">
        <f t="shared" si="55"/>
        <v>#N/A</v>
      </c>
      <c r="CH27" s="488" t="e">
        <f t="shared" si="56"/>
        <v>#N/A</v>
      </c>
      <c r="CI27" s="488" t="e">
        <f t="shared" si="28"/>
        <v>#N/A</v>
      </c>
      <c r="CJ27" s="488" t="e">
        <f t="shared" si="29"/>
        <v>#N/A</v>
      </c>
      <c r="CK27" s="488" t="e">
        <f t="shared" si="30"/>
        <v>#N/A</v>
      </c>
      <c r="CL27" s="488" t="e">
        <f t="shared" si="31"/>
        <v>#N/A</v>
      </c>
      <c r="CM27" s="178" t="e">
        <f t="shared" si="57"/>
        <v>#N/A</v>
      </c>
      <c r="CN27" s="488" t="e">
        <f t="shared" si="58"/>
        <v>#N/A</v>
      </c>
      <c r="CO27" s="488" t="e">
        <f t="shared" si="32"/>
        <v>#N/A</v>
      </c>
      <c r="CP27" s="488" t="e">
        <f t="shared" si="33"/>
        <v>#N/A</v>
      </c>
      <c r="CQ27" s="488" t="e">
        <f t="shared" si="34"/>
        <v>#N/A</v>
      </c>
      <c r="CR27" s="488" t="e">
        <f t="shared" si="35"/>
        <v>#N/A</v>
      </c>
      <c r="CS27" s="35"/>
      <c r="CT27" s="35"/>
      <c r="CU27" s="35"/>
      <c r="CV27" s="35"/>
    </row>
    <row r="28" spans="1:100" x14ac:dyDescent="0.25">
      <c r="A28" s="319"/>
      <c r="B28" s="152">
        <f t="shared" si="59"/>
        <v>0.83333333333399995</v>
      </c>
      <c r="C28" s="205" t="e">
        <f t="shared" si="0"/>
        <v>#N/A</v>
      </c>
      <c r="D28" s="550" t="str">
        <f t="shared" si="36"/>
        <v>YES</v>
      </c>
      <c r="E28" s="178" t="e">
        <f t="shared" si="37"/>
        <v>#N/A</v>
      </c>
      <c r="F28" s="162" t="e">
        <f t="shared" si="37"/>
        <v>#N/A</v>
      </c>
      <c r="G28" s="162" t="e">
        <f t="shared" si="37"/>
        <v>#N/A</v>
      </c>
      <c r="H28" s="162" t="e">
        <f t="shared" si="37"/>
        <v>#N/A</v>
      </c>
      <c r="I28" s="162" t="e">
        <f t="shared" si="37"/>
        <v>#N/A</v>
      </c>
      <c r="J28" s="112" t="e">
        <f t="shared" si="37"/>
        <v>#N/A</v>
      </c>
      <c r="K28" s="160" t="e">
        <f t="shared" si="38"/>
        <v>#N/A</v>
      </c>
      <c r="L28" s="162" t="e">
        <f t="shared" si="2"/>
        <v>#N/A</v>
      </c>
      <c r="M28" s="162" t="e">
        <f t="shared" si="3"/>
        <v>#N/A</v>
      </c>
      <c r="N28" s="162" t="e">
        <f t="shared" si="4"/>
        <v>#N/A</v>
      </c>
      <c r="O28" s="162" t="e">
        <f t="shared" si="5"/>
        <v>#N/A</v>
      </c>
      <c r="P28" s="112" t="e">
        <f t="shared" si="6"/>
        <v>#N/A</v>
      </c>
      <c r="Q28" s="178" t="e">
        <f t="shared" si="39"/>
        <v>#N/A</v>
      </c>
      <c r="R28" s="162" t="e">
        <f t="shared" si="7"/>
        <v>#N/A</v>
      </c>
      <c r="S28" s="162" t="e">
        <f t="shared" si="8"/>
        <v>#N/A</v>
      </c>
      <c r="T28" s="162" t="e">
        <f t="shared" si="9"/>
        <v>#N/A</v>
      </c>
      <c r="U28" s="162" t="e">
        <f t="shared" si="10"/>
        <v>#N/A</v>
      </c>
      <c r="V28" s="112" t="e">
        <f t="shared" si="11"/>
        <v>#N/A</v>
      </c>
      <c r="W28" s="178" t="e">
        <f t="shared" si="40"/>
        <v>#N/A</v>
      </c>
      <c r="X28" s="162" t="e">
        <f t="shared" si="12"/>
        <v>#N/A</v>
      </c>
      <c r="Y28" s="162" t="e">
        <f t="shared" si="13"/>
        <v>#N/A</v>
      </c>
      <c r="Z28" s="162" t="e">
        <f t="shared" si="14"/>
        <v>#N/A</v>
      </c>
      <c r="AA28" s="162" t="e">
        <f t="shared" si="15"/>
        <v>#N/A</v>
      </c>
      <c r="AB28" s="112" t="e">
        <f t="shared" si="16"/>
        <v>#N/A</v>
      </c>
      <c r="AC28" s="178" t="e">
        <f t="shared" si="41"/>
        <v>#N/A</v>
      </c>
      <c r="AD28" s="162" t="e">
        <f t="shared" si="17"/>
        <v>#N/A</v>
      </c>
      <c r="AE28" s="162" t="e">
        <f t="shared" si="18"/>
        <v>#N/A</v>
      </c>
      <c r="AF28" s="162" t="e">
        <f t="shared" si="19"/>
        <v>#N/A</v>
      </c>
      <c r="AG28" s="162" t="e">
        <f t="shared" si="20"/>
        <v>#N/A</v>
      </c>
      <c r="AH28" s="162" t="e">
        <f t="shared" si="21"/>
        <v>#N/A</v>
      </c>
      <c r="AJ28" s="166" t="s">
        <v>270</v>
      </c>
      <c r="AK28" s="166" t="s">
        <v>270</v>
      </c>
      <c r="AL28" s="166" t="s">
        <v>270</v>
      </c>
      <c r="AM28" s="166" t="s">
        <v>270</v>
      </c>
      <c r="AN28" s="166" t="s">
        <v>270</v>
      </c>
      <c r="AO28" s="166" t="s">
        <v>270</v>
      </c>
      <c r="AP28" s="208" t="s">
        <v>270</v>
      </c>
      <c r="AQ28" s="162" t="e">
        <f t="shared" si="42"/>
        <v>#N/A</v>
      </c>
      <c r="AR28" s="162" t="e">
        <f t="shared" si="42"/>
        <v>#N/A</v>
      </c>
      <c r="AS28" s="162" t="e">
        <f t="shared" si="42"/>
        <v>#N/A</v>
      </c>
      <c r="AT28" s="162" t="e">
        <f t="shared" si="42"/>
        <v>#N/A</v>
      </c>
      <c r="AU28" s="162" t="e">
        <f t="shared" si="42"/>
        <v>#N/A</v>
      </c>
      <c r="AV28" s="208" t="s">
        <v>270</v>
      </c>
      <c r="AW28" s="162" t="e">
        <f t="shared" si="42"/>
        <v>#N/A</v>
      </c>
      <c r="AX28" s="162" t="e">
        <f t="shared" si="42"/>
        <v>#N/A</v>
      </c>
      <c r="AY28" s="162" t="e">
        <f t="shared" si="42"/>
        <v>#N/A</v>
      </c>
      <c r="AZ28" s="162" t="e">
        <f t="shared" si="42"/>
        <v>#N/A</v>
      </c>
      <c r="BA28" s="162" t="e">
        <f t="shared" si="42"/>
        <v>#N/A</v>
      </c>
      <c r="BB28" s="208" t="s">
        <v>270</v>
      </c>
      <c r="BC28" s="162" t="e">
        <f t="shared" si="43"/>
        <v>#N/A</v>
      </c>
      <c r="BD28" s="162" t="e">
        <f t="shared" si="43"/>
        <v>#N/A</v>
      </c>
      <c r="BE28" s="162" t="e">
        <f t="shared" si="43"/>
        <v>#N/A</v>
      </c>
      <c r="BF28" s="162" t="e">
        <f t="shared" si="43"/>
        <v>#N/A</v>
      </c>
      <c r="BG28" s="162" t="e">
        <f t="shared" si="43"/>
        <v>#N/A</v>
      </c>
      <c r="BH28" s="208" t="s">
        <v>270</v>
      </c>
      <c r="BI28" s="162" t="e">
        <f t="shared" si="44"/>
        <v>#N/A</v>
      </c>
      <c r="BJ28" s="162" t="e">
        <f t="shared" si="44"/>
        <v>#N/A</v>
      </c>
      <c r="BK28" s="162" t="e">
        <f t="shared" si="44"/>
        <v>#N/A</v>
      </c>
      <c r="BL28" s="162" t="e">
        <f t="shared" si="44"/>
        <v>#N/A</v>
      </c>
      <c r="BM28" s="162" t="e">
        <f t="shared" si="44"/>
        <v>#N/A</v>
      </c>
      <c r="BO28" s="162" t="e">
        <f t="shared" si="45"/>
        <v>#N/A</v>
      </c>
      <c r="BP28" s="162" t="e">
        <f t="shared" si="46"/>
        <v>#N/A</v>
      </c>
      <c r="BQ28" s="162" t="e">
        <f t="shared" si="47"/>
        <v>#N/A</v>
      </c>
      <c r="BR28" s="162" t="e">
        <f t="shared" si="48"/>
        <v>#N/A</v>
      </c>
      <c r="BS28" s="162" t="e">
        <f t="shared" si="49"/>
        <v>#N/A</v>
      </c>
      <c r="BT28" s="112" t="e">
        <f t="shared" si="50"/>
        <v>#N/A</v>
      </c>
      <c r="BU28" s="178" t="e">
        <f t="shared" si="51"/>
        <v>#N/A</v>
      </c>
      <c r="BV28" s="488" t="e">
        <f t="shared" si="52"/>
        <v>#N/A</v>
      </c>
      <c r="BW28" s="488" t="e">
        <f t="shared" si="60"/>
        <v>#N/A</v>
      </c>
      <c r="BX28" s="488" t="e">
        <f t="shared" si="61"/>
        <v>#N/A</v>
      </c>
      <c r="BY28" s="488" t="e">
        <f t="shared" si="62"/>
        <v>#N/A</v>
      </c>
      <c r="BZ28" s="488" t="e">
        <f t="shared" si="63"/>
        <v>#N/A</v>
      </c>
      <c r="CA28" s="178" t="e">
        <f t="shared" si="53"/>
        <v>#N/A</v>
      </c>
      <c r="CB28" s="488" t="e">
        <f t="shared" si="54"/>
        <v>#N/A</v>
      </c>
      <c r="CC28" s="488" t="e">
        <f t="shared" si="24"/>
        <v>#N/A</v>
      </c>
      <c r="CD28" s="488" t="e">
        <f t="shared" si="25"/>
        <v>#N/A</v>
      </c>
      <c r="CE28" s="488" t="e">
        <f t="shared" si="26"/>
        <v>#N/A</v>
      </c>
      <c r="CF28" s="488" t="e">
        <f t="shared" si="27"/>
        <v>#N/A</v>
      </c>
      <c r="CG28" s="178" t="e">
        <f t="shared" si="55"/>
        <v>#N/A</v>
      </c>
      <c r="CH28" s="488" t="e">
        <f t="shared" si="56"/>
        <v>#N/A</v>
      </c>
      <c r="CI28" s="488" t="e">
        <f t="shared" si="28"/>
        <v>#N/A</v>
      </c>
      <c r="CJ28" s="488" t="e">
        <f t="shared" si="29"/>
        <v>#N/A</v>
      </c>
      <c r="CK28" s="488" t="e">
        <f t="shared" si="30"/>
        <v>#N/A</v>
      </c>
      <c r="CL28" s="488" t="e">
        <f t="shared" si="31"/>
        <v>#N/A</v>
      </c>
      <c r="CM28" s="178" t="e">
        <f t="shared" si="57"/>
        <v>#N/A</v>
      </c>
      <c r="CN28" s="488" t="e">
        <f t="shared" si="58"/>
        <v>#N/A</v>
      </c>
      <c r="CO28" s="488" t="e">
        <f t="shared" si="32"/>
        <v>#N/A</v>
      </c>
      <c r="CP28" s="488" t="e">
        <f t="shared" si="33"/>
        <v>#N/A</v>
      </c>
      <c r="CQ28" s="488" t="e">
        <f t="shared" si="34"/>
        <v>#N/A</v>
      </c>
      <c r="CR28" s="488" t="e">
        <f t="shared" si="35"/>
        <v>#N/A</v>
      </c>
      <c r="CS28" s="35"/>
      <c r="CT28" s="35"/>
      <c r="CU28" s="35"/>
      <c r="CV28" s="35"/>
    </row>
    <row r="29" spans="1:100" x14ac:dyDescent="0.25">
      <c r="A29" s="319"/>
      <c r="B29" s="152">
        <f t="shared" si="59"/>
        <v>0.8750000000007</v>
      </c>
      <c r="C29" s="205" t="e">
        <f t="shared" si="0"/>
        <v>#N/A</v>
      </c>
      <c r="D29" s="550" t="str">
        <f t="shared" si="36"/>
        <v>YES</v>
      </c>
      <c r="E29" s="178" t="e">
        <f t="shared" si="37"/>
        <v>#N/A</v>
      </c>
      <c r="F29" s="162" t="e">
        <f t="shared" si="37"/>
        <v>#N/A</v>
      </c>
      <c r="G29" s="162" t="e">
        <f t="shared" si="37"/>
        <v>#N/A</v>
      </c>
      <c r="H29" s="162" t="e">
        <f t="shared" si="37"/>
        <v>#N/A</v>
      </c>
      <c r="I29" s="162" t="e">
        <f t="shared" si="37"/>
        <v>#N/A</v>
      </c>
      <c r="J29" s="112" t="e">
        <f t="shared" si="37"/>
        <v>#N/A</v>
      </c>
      <c r="K29" s="160" t="e">
        <f t="shared" si="38"/>
        <v>#N/A</v>
      </c>
      <c r="L29" s="162" t="e">
        <f t="shared" si="2"/>
        <v>#N/A</v>
      </c>
      <c r="M29" s="162" t="e">
        <f t="shared" si="3"/>
        <v>#N/A</v>
      </c>
      <c r="N29" s="162" t="e">
        <f t="shared" si="4"/>
        <v>#N/A</v>
      </c>
      <c r="O29" s="162" t="e">
        <f t="shared" si="5"/>
        <v>#N/A</v>
      </c>
      <c r="P29" s="112" t="e">
        <f t="shared" si="6"/>
        <v>#N/A</v>
      </c>
      <c r="Q29" s="178" t="e">
        <f t="shared" si="39"/>
        <v>#N/A</v>
      </c>
      <c r="R29" s="162" t="e">
        <f t="shared" si="7"/>
        <v>#N/A</v>
      </c>
      <c r="S29" s="162" t="e">
        <f t="shared" si="8"/>
        <v>#N/A</v>
      </c>
      <c r="T29" s="162" t="e">
        <f t="shared" si="9"/>
        <v>#N/A</v>
      </c>
      <c r="U29" s="162" t="e">
        <f t="shared" si="10"/>
        <v>#N/A</v>
      </c>
      <c r="V29" s="112" t="e">
        <f t="shared" si="11"/>
        <v>#N/A</v>
      </c>
      <c r="W29" s="178" t="e">
        <f t="shared" si="40"/>
        <v>#N/A</v>
      </c>
      <c r="X29" s="162" t="e">
        <f t="shared" si="12"/>
        <v>#N/A</v>
      </c>
      <c r="Y29" s="162" t="e">
        <f t="shared" si="13"/>
        <v>#N/A</v>
      </c>
      <c r="Z29" s="162" t="e">
        <f t="shared" si="14"/>
        <v>#N/A</v>
      </c>
      <c r="AA29" s="162" t="e">
        <f t="shared" si="15"/>
        <v>#N/A</v>
      </c>
      <c r="AB29" s="112" t="e">
        <f t="shared" si="16"/>
        <v>#N/A</v>
      </c>
      <c r="AC29" s="178" t="e">
        <f t="shared" si="41"/>
        <v>#N/A</v>
      </c>
      <c r="AD29" s="162" t="e">
        <f t="shared" si="17"/>
        <v>#N/A</v>
      </c>
      <c r="AE29" s="162" t="e">
        <f t="shared" si="18"/>
        <v>#N/A</v>
      </c>
      <c r="AF29" s="162" t="e">
        <f t="shared" si="19"/>
        <v>#N/A</v>
      </c>
      <c r="AG29" s="162" t="e">
        <f t="shared" si="20"/>
        <v>#N/A</v>
      </c>
      <c r="AH29" s="162" t="e">
        <f t="shared" si="21"/>
        <v>#N/A</v>
      </c>
      <c r="AJ29" s="166" t="s">
        <v>270</v>
      </c>
      <c r="AK29" s="166" t="s">
        <v>270</v>
      </c>
      <c r="AL29" s="166" t="s">
        <v>270</v>
      </c>
      <c r="AM29" s="166" t="s">
        <v>270</v>
      </c>
      <c r="AN29" s="166" t="s">
        <v>270</v>
      </c>
      <c r="AO29" s="166" t="s">
        <v>270</v>
      </c>
      <c r="AP29" s="208" t="s">
        <v>270</v>
      </c>
      <c r="AQ29" s="162" t="e">
        <f t="shared" si="42"/>
        <v>#N/A</v>
      </c>
      <c r="AR29" s="162" t="e">
        <f t="shared" si="42"/>
        <v>#N/A</v>
      </c>
      <c r="AS29" s="162" t="e">
        <f t="shared" si="42"/>
        <v>#N/A</v>
      </c>
      <c r="AT29" s="162" t="e">
        <f t="shared" si="42"/>
        <v>#N/A</v>
      </c>
      <c r="AU29" s="162" t="e">
        <f t="shared" si="42"/>
        <v>#N/A</v>
      </c>
      <c r="AV29" s="208" t="s">
        <v>270</v>
      </c>
      <c r="AW29" s="162" t="e">
        <f t="shared" si="42"/>
        <v>#N/A</v>
      </c>
      <c r="AX29" s="162" t="e">
        <f t="shared" si="42"/>
        <v>#N/A</v>
      </c>
      <c r="AY29" s="162" t="e">
        <f t="shared" si="42"/>
        <v>#N/A</v>
      </c>
      <c r="AZ29" s="162" t="e">
        <f t="shared" si="42"/>
        <v>#N/A</v>
      </c>
      <c r="BA29" s="162" t="e">
        <f t="shared" si="42"/>
        <v>#N/A</v>
      </c>
      <c r="BB29" s="208" t="s">
        <v>270</v>
      </c>
      <c r="BC29" s="162" t="e">
        <f t="shared" si="43"/>
        <v>#N/A</v>
      </c>
      <c r="BD29" s="162" t="e">
        <f t="shared" si="43"/>
        <v>#N/A</v>
      </c>
      <c r="BE29" s="162" t="e">
        <f t="shared" si="43"/>
        <v>#N/A</v>
      </c>
      <c r="BF29" s="162" t="e">
        <f t="shared" si="43"/>
        <v>#N/A</v>
      </c>
      <c r="BG29" s="162" t="e">
        <f t="shared" si="43"/>
        <v>#N/A</v>
      </c>
      <c r="BH29" s="208" t="s">
        <v>270</v>
      </c>
      <c r="BI29" s="162" t="e">
        <f t="shared" si="44"/>
        <v>#N/A</v>
      </c>
      <c r="BJ29" s="162" t="e">
        <f t="shared" si="44"/>
        <v>#N/A</v>
      </c>
      <c r="BK29" s="162" t="e">
        <f t="shared" si="44"/>
        <v>#N/A</v>
      </c>
      <c r="BL29" s="162" t="e">
        <f t="shared" si="44"/>
        <v>#N/A</v>
      </c>
      <c r="BM29" s="162" t="e">
        <f t="shared" si="44"/>
        <v>#N/A</v>
      </c>
      <c r="BO29" s="162" t="e">
        <f t="shared" si="45"/>
        <v>#N/A</v>
      </c>
      <c r="BP29" s="162" t="e">
        <f t="shared" si="46"/>
        <v>#N/A</v>
      </c>
      <c r="BQ29" s="162" t="e">
        <f t="shared" si="47"/>
        <v>#N/A</v>
      </c>
      <c r="BR29" s="162" t="e">
        <f t="shared" si="48"/>
        <v>#N/A</v>
      </c>
      <c r="BS29" s="162" t="e">
        <f t="shared" si="49"/>
        <v>#N/A</v>
      </c>
      <c r="BT29" s="112" t="e">
        <f t="shared" si="50"/>
        <v>#N/A</v>
      </c>
      <c r="BU29" s="178" t="e">
        <f t="shared" si="51"/>
        <v>#N/A</v>
      </c>
      <c r="BV29" s="488" t="e">
        <f t="shared" si="52"/>
        <v>#N/A</v>
      </c>
      <c r="BW29" s="488" t="e">
        <f t="shared" si="60"/>
        <v>#N/A</v>
      </c>
      <c r="BX29" s="488" t="e">
        <f t="shared" si="61"/>
        <v>#N/A</v>
      </c>
      <c r="BY29" s="488" t="e">
        <f t="shared" si="62"/>
        <v>#N/A</v>
      </c>
      <c r="BZ29" s="488" t="e">
        <f t="shared" si="63"/>
        <v>#N/A</v>
      </c>
      <c r="CA29" s="178" t="e">
        <f t="shared" si="53"/>
        <v>#N/A</v>
      </c>
      <c r="CB29" s="488" t="e">
        <f t="shared" si="54"/>
        <v>#N/A</v>
      </c>
      <c r="CC29" s="488" t="e">
        <f t="shared" si="24"/>
        <v>#N/A</v>
      </c>
      <c r="CD29" s="488" t="e">
        <f t="shared" si="25"/>
        <v>#N/A</v>
      </c>
      <c r="CE29" s="488" t="e">
        <f t="shared" si="26"/>
        <v>#N/A</v>
      </c>
      <c r="CF29" s="488" t="e">
        <f t="shared" si="27"/>
        <v>#N/A</v>
      </c>
      <c r="CG29" s="178" t="e">
        <f t="shared" si="55"/>
        <v>#N/A</v>
      </c>
      <c r="CH29" s="488" t="e">
        <f t="shared" si="56"/>
        <v>#N/A</v>
      </c>
      <c r="CI29" s="488" t="e">
        <f t="shared" si="28"/>
        <v>#N/A</v>
      </c>
      <c r="CJ29" s="488" t="e">
        <f t="shared" si="29"/>
        <v>#N/A</v>
      </c>
      <c r="CK29" s="488" t="e">
        <f t="shared" si="30"/>
        <v>#N/A</v>
      </c>
      <c r="CL29" s="488" t="e">
        <f t="shared" si="31"/>
        <v>#N/A</v>
      </c>
      <c r="CM29" s="178" t="e">
        <f t="shared" si="57"/>
        <v>#N/A</v>
      </c>
      <c r="CN29" s="488" t="e">
        <f t="shared" si="58"/>
        <v>#N/A</v>
      </c>
      <c r="CO29" s="488" t="e">
        <f t="shared" si="32"/>
        <v>#N/A</v>
      </c>
      <c r="CP29" s="488" t="e">
        <f t="shared" si="33"/>
        <v>#N/A</v>
      </c>
      <c r="CQ29" s="488" t="e">
        <f t="shared" si="34"/>
        <v>#N/A</v>
      </c>
      <c r="CR29" s="488" t="e">
        <f t="shared" si="35"/>
        <v>#N/A</v>
      </c>
      <c r="CS29" s="35"/>
      <c r="CT29" s="35"/>
      <c r="CU29" s="35"/>
      <c r="CV29" s="35"/>
    </row>
    <row r="30" spans="1:100" x14ac:dyDescent="0.25">
      <c r="A30" s="319"/>
      <c r="B30" s="152">
        <f t="shared" si="59"/>
        <v>0.91666666666740004</v>
      </c>
      <c r="C30" s="205" t="e">
        <f t="shared" si="0"/>
        <v>#N/A</v>
      </c>
      <c r="D30" s="550" t="str">
        <f t="shared" si="36"/>
        <v>YES</v>
      </c>
      <c r="E30" s="178" t="e">
        <f t="shared" si="37"/>
        <v>#N/A</v>
      </c>
      <c r="F30" s="162" t="e">
        <f t="shared" si="37"/>
        <v>#N/A</v>
      </c>
      <c r="G30" s="162" t="e">
        <f t="shared" si="37"/>
        <v>#N/A</v>
      </c>
      <c r="H30" s="162" t="e">
        <f t="shared" si="37"/>
        <v>#N/A</v>
      </c>
      <c r="I30" s="162" t="e">
        <f t="shared" si="37"/>
        <v>#N/A</v>
      </c>
      <c r="J30" s="112" t="e">
        <f t="shared" si="37"/>
        <v>#N/A</v>
      </c>
      <c r="K30" s="160" t="e">
        <f t="shared" si="38"/>
        <v>#N/A</v>
      </c>
      <c r="L30" s="162" t="e">
        <f t="shared" si="2"/>
        <v>#N/A</v>
      </c>
      <c r="M30" s="162" t="e">
        <f t="shared" si="3"/>
        <v>#N/A</v>
      </c>
      <c r="N30" s="162" t="e">
        <f t="shared" si="4"/>
        <v>#N/A</v>
      </c>
      <c r="O30" s="162" t="e">
        <f t="shared" si="5"/>
        <v>#N/A</v>
      </c>
      <c r="P30" s="112" t="e">
        <f t="shared" si="6"/>
        <v>#N/A</v>
      </c>
      <c r="Q30" s="178" t="e">
        <f t="shared" si="39"/>
        <v>#N/A</v>
      </c>
      <c r="R30" s="162" t="e">
        <f t="shared" si="7"/>
        <v>#N/A</v>
      </c>
      <c r="S30" s="162" t="e">
        <f t="shared" si="8"/>
        <v>#N/A</v>
      </c>
      <c r="T30" s="162" t="e">
        <f t="shared" si="9"/>
        <v>#N/A</v>
      </c>
      <c r="U30" s="162" t="e">
        <f t="shared" si="10"/>
        <v>#N/A</v>
      </c>
      <c r="V30" s="112" t="e">
        <f t="shared" si="11"/>
        <v>#N/A</v>
      </c>
      <c r="W30" s="178" t="e">
        <f t="shared" si="40"/>
        <v>#N/A</v>
      </c>
      <c r="X30" s="162" t="e">
        <f t="shared" si="12"/>
        <v>#N/A</v>
      </c>
      <c r="Y30" s="162" t="e">
        <f t="shared" si="13"/>
        <v>#N/A</v>
      </c>
      <c r="Z30" s="162" t="e">
        <f t="shared" si="14"/>
        <v>#N/A</v>
      </c>
      <c r="AA30" s="162" t="e">
        <f t="shared" si="15"/>
        <v>#N/A</v>
      </c>
      <c r="AB30" s="112" t="e">
        <f t="shared" si="16"/>
        <v>#N/A</v>
      </c>
      <c r="AC30" s="178" t="e">
        <f t="shared" si="41"/>
        <v>#N/A</v>
      </c>
      <c r="AD30" s="162" t="e">
        <f t="shared" si="17"/>
        <v>#N/A</v>
      </c>
      <c r="AE30" s="162" t="e">
        <f t="shared" si="18"/>
        <v>#N/A</v>
      </c>
      <c r="AF30" s="162" t="e">
        <f t="shared" si="19"/>
        <v>#N/A</v>
      </c>
      <c r="AG30" s="162" t="e">
        <f t="shared" si="20"/>
        <v>#N/A</v>
      </c>
      <c r="AH30" s="162" t="e">
        <f t="shared" si="21"/>
        <v>#N/A</v>
      </c>
      <c r="AJ30" s="166" t="s">
        <v>270</v>
      </c>
      <c r="AK30" s="166" t="s">
        <v>270</v>
      </c>
      <c r="AL30" s="166" t="s">
        <v>270</v>
      </c>
      <c r="AM30" s="166" t="s">
        <v>270</v>
      </c>
      <c r="AN30" s="166" t="s">
        <v>270</v>
      </c>
      <c r="AO30" s="166" t="s">
        <v>270</v>
      </c>
      <c r="AP30" s="208" t="s">
        <v>270</v>
      </c>
      <c r="AQ30" s="162" t="e">
        <f t="shared" si="42"/>
        <v>#N/A</v>
      </c>
      <c r="AR30" s="162" t="e">
        <f t="shared" si="42"/>
        <v>#N/A</v>
      </c>
      <c r="AS30" s="162" t="e">
        <f t="shared" si="42"/>
        <v>#N/A</v>
      </c>
      <c r="AT30" s="162" t="e">
        <f t="shared" si="42"/>
        <v>#N/A</v>
      </c>
      <c r="AU30" s="162" t="e">
        <f t="shared" si="42"/>
        <v>#N/A</v>
      </c>
      <c r="AV30" s="208" t="s">
        <v>270</v>
      </c>
      <c r="AW30" s="162" t="e">
        <f t="shared" si="42"/>
        <v>#N/A</v>
      </c>
      <c r="AX30" s="162" t="e">
        <f t="shared" si="42"/>
        <v>#N/A</v>
      </c>
      <c r="AY30" s="162" t="e">
        <f t="shared" si="42"/>
        <v>#N/A</v>
      </c>
      <c r="AZ30" s="162" t="e">
        <f t="shared" si="42"/>
        <v>#N/A</v>
      </c>
      <c r="BA30" s="162" t="e">
        <f t="shared" si="42"/>
        <v>#N/A</v>
      </c>
      <c r="BB30" s="208" t="s">
        <v>270</v>
      </c>
      <c r="BC30" s="162" t="e">
        <f t="shared" si="43"/>
        <v>#N/A</v>
      </c>
      <c r="BD30" s="162" t="e">
        <f t="shared" si="43"/>
        <v>#N/A</v>
      </c>
      <c r="BE30" s="162" t="e">
        <f t="shared" si="43"/>
        <v>#N/A</v>
      </c>
      <c r="BF30" s="162" t="e">
        <f t="shared" si="43"/>
        <v>#N/A</v>
      </c>
      <c r="BG30" s="162" t="e">
        <f t="shared" si="43"/>
        <v>#N/A</v>
      </c>
      <c r="BH30" s="208" t="s">
        <v>270</v>
      </c>
      <c r="BI30" s="162" t="e">
        <f t="shared" si="44"/>
        <v>#N/A</v>
      </c>
      <c r="BJ30" s="162" t="e">
        <f t="shared" si="44"/>
        <v>#N/A</v>
      </c>
      <c r="BK30" s="162" t="e">
        <f t="shared" si="44"/>
        <v>#N/A</v>
      </c>
      <c r="BL30" s="162" t="e">
        <f t="shared" si="44"/>
        <v>#N/A</v>
      </c>
      <c r="BM30" s="162" t="e">
        <f t="shared" si="44"/>
        <v>#N/A</v>
      </c>
      <c r="BO30" s="162" t="e">
        <f t="shared" si="45"/>
        <v>#N/A</v>
      </c>
      <c r="BP30" s="162" t="e">
        <f t="shared" si="46"/>
        <v>#N/A</v>
      </c>
      <c r="BQ30" s="162" t="e">
        <f t="shared" si="47"/>
        <v>#N/A</v>
      </c>
      <c r="BR30" s="162" t="e">
        <f t="shared" si="48"/>
        <v>#N/A</v>
      </c>
      <c r="BS30" s="162" t="e">
        <f t="shared" si="49"/>
        <v>#N/A</v>
      </c>
      <c r="BT30" s="112" t="e">
        <f t="shared" si="50"/>
        <v>#N/A</v>
      </c>
      <c r="BU30" s="178" t="e">
        <f t="shared" si="51"/>
        <v>#N/A</v>
      </c>
      <c r="BV30" s="488" t="e">
        <f t="shared" si="52"/>
        <v>#N/A</v>
      </c>
      <c r="BW30" s="488" t="e">
        <f t="shared" si="60"/>
        <v>#N/A</v>
      </c>
      <c r="BX30" s="488" t="e">
        <f t="shared" si="61"/>
        <v>#N/A</v>
      </c>
      <c r="BY30" s="488" t="e">
        <f t="shared" si="62"/>
        <v>#N/A</v>
      </c>
      <c r="BZ30" s="488" t="e">
        <f t="shared" si="63"/>
        <v>#N/A</v>
      </c>
      <c r="CA30" s="178" t="e">
        <f t="shared" si="53"/>
        <v>#N/A</v>
      </c>
      <c r="CB30" s="488" t="e">
        <f t="shared" si="54"/>
        <v>#N/A</v>
      </c>
      <c r="CC30" s="488" t="e">
        <f t="shared" si="24"/>
        <v>#N/A</v>
      </c>
      <c r="CD30" s="488" t="e">
        <f t="shared" si="25"/>
        <v>#N/A</v>
      </c>
      <c r="CE30" s="488" t="e">
        <f t="shared" si="26"/>
        <v>#N/A</v>
      </c>
      <c r="CF30" s="488" t="e">
        <f t="shared" si="27"/>
        <v>#N/A</v>
      </c>
      <c r="CG30" s="178" t="e">
        <f t="shared" si="55"/>
        <v>#N/A</v>
      </c>
      <c r="CH30" s="488" t="e">
        <f t="shared" si="56"/>
        <v>#N/A</v>
      </c>
      <c r="CI30" s="488" t="e">
        <f t="shared" si="28"/>
        <v>#N/A</v>
      </c>
      <c r="CJ30" s="488" t="e">
        <f t="shared" si="29"/>
        <v>#N/A</v>
      </c>
      <c r="CK30" s="488" t="e">
        <f t="shared" si="30"/>
        <v>#N/A</v>
      </c>
      <c r="CL30" s="488" t="e">
        <f t="shared" si="31"/>
        <v>#N/A</v>
      </c>
      <c r="CM30" s="178" t="e">
        <f t="shared" si="57"/>
        <v>#N/A</v>
      </c>
      <c r="CN30" s="488" t="e">
        <f t="shared" si="58"/>
        <v>#N/A</v>
      </c>
      <c r="CO30" s="488" t="e">
        <f t="shared" si="32"/>
        <v>#N/A</v>
      </c>
      <c r="CP30" s="488" t="e">
        <f t="shared" si="33"/>
        <v>#N/A</v>
      </c>
      <c r="CQ30" s="488" t="e">
        <f t="shared" si="34"/>
        <v>#N/A</v>
      </c>
      <c r="CR30" s="488" t="e">
        <f t="shared" si="35"/>
        <v>#N/A</v>
      </c>
      <c r="CS30" s="35"/>
      <c r="CT30" s="35"/>
      <c r="CU30" s="35"/>
      <c r="CV30" s="35"/>
    </row>
    <row r="31" spans="1:100" x14ac:dyDescent="0.25">
      <c r="A31" s="319"/>
      <c r="B31" s="152">
        <f t="shared" si="59"/>
        <v>0.95833333333409998</v>
      </c>
      <c r="C31" s="205" t="e">
        <f t="shared" si="0"/>
        <v>#N/A</v>
      </c>
      <c r="D31" s="550" t="str">
        <f t="shared" si="36"/>
        <v>YES</v>
      </c>
      <c r="E31" s="178" t="e">
        <f t="shared" si="37"/>
        <v>#N/A</v>
      </c>
      <c r="F31" s="162" t="e">
        <f t="shared" si="37"/>
        <v>#N/A</v>
      </c>
      <c r="G31" s="162" t="e">
        <f t="shared" si="37"/>
        <v>#N/A</v>
      </c>
      <c r="H31" s="162" t="e">
        <f t="shared" si="37"/>
        <v>#N/A</v>
      </c>
      <c r="I31" s="162" t="e">
        <f t="shared" si="37"/>
        <v>#N/A</v>
      </c>
      <c r="J31" s="112" t="e">
        <f t="shared" si="37"/>
        <v>#N/A</v>
      </c>
      <c r="K31" s="160" t="e">
        <f t="shared" si="38"/>
        <v>#N/A</v>
      </c>
      <c r="L31" s="162" t="e">
        <f t="shared" si="2"/>
        <v>#N/A</v>
      </c>
      <c r="M31" s="162" t="e">
        <f t="shared" si="3"/>
        <v>#N/A</v>
      </c>
      <c r="N31" s="162" t="e">
        <f t="shared" si="4"/>
        <v>#N/A</v>
      </c>
      <c r="O31" s="162" t="e">
        <f t="shared" si="5"/>
        <v>#N/A</v>
      </c>
      <c r="P31" s="112" t="e">
        <f t="shared" si="6"/>
        <v>#N/A</v>
      </c>
      <c r="Q31" s="178" t="e">
        <f t="shared" si="39"/>
        <v>#N/A</v>
      </c>
      <c r="R31" s="162" t="e">
        <f t="shared" si="7"/>
        <v>#N/A</v>
      </c>
      <c r="S31" s="162" t="e">
        <f t="shared" si="8"/>
        <v>#N/A</v>
      </c>
      <c r="T31" s="162" t="e">
        <f t="shared" si="9"/>
        <v>#N/A</v>
      </c>
      <c r="U31" s="162" t="e">
        <f t="shared" si="10"/>
        <v>#N/A</v>
      </c>
      <c r="V31" s="112" t="e">
        <f t="shared" si="11"/>
        <v>#N/A</v>
      </c>
      <c r="W31" s="178" t="e">
        <f t="shared" si="40"/>
        <v>#N/A</v>
      </c>
      <c r="X31" s="162" t="e">
        <f t="shared" si="12"/>
        <v>#N/A</v>
      </c>
      <c r="Y31" s="162" t="e">
        <f t="shared" si="13"/>
        <v>#N/A</v>
      </c>
      <c r="Z31" s="162" t="e">
        <f t="shared" si="14"/>
        <v>#N/A</v>
      </c>
      <c r="AA31" s="162" t="e">
        <f t="shared" si="15"/>
        <v>#N/A</v>
      </c>
      <c r="AB31" s="112" t="e">
        <f t="shared" si="16"/>
        <v>#N/A</v>
      </c>
      <c r="AC31" s="178" t="e">
        <f t="shared" si="41"/>
        <v>#N/A</v>
      </c>
      <c r="AD31" s="162" t="e">
        <f t="shared" si="17"/>
        <v>#N/A</v>
      </c>
      <c r="AE31" s="162" t="e">
        <f t="shared" si="18"/>
        <v>#N/A</v>
      </c>
      <c r="AF31" s="162" t="e">
        <f t="shared" si="19"/>
        <v>#N/A</v>
      </c>
      <c r="AG31" s="162" t="e">
        <f t="shared" si="20"/>
        <v>#N/A</v>
      </c>
      <c r="AH31" s="162" t="e">
        <f t="shared" si="21"/>
        <v>#N/A</v>
      </c>
      <c r="AJ31" s="166" t="s">
        <v>270</v>
      </c>
      <c r="AK31" s="166" t="s">
        <v>270</v>
      </c>
      <c r="AL31" s="166" t="s">
        <v>270</v>
      </c>
      <c r="AM31" s="166" t="s">
        <v>270</v>
      </c>
      <c r="AN31" s="166" t="s">
        <v>270</v>
      </c>
      <c r="AO31" s="166" t="s">
        <v>270</v>
      </c>
      <c r="AP31" s="208" t="s">
        <v>270</v>
      </c>
      <c r="AQ31" s="162" t="e">
        <f t="shared" si="42"/>
        <v>#N/A</v>
      </c>
      <c r="AR31" s="162" t="e">
        <f t="shared" si="42"/>
        <v>#N/A</v>
      </c>
      <c r="AS31" s="162" t="e">
        <f t="shared" si="42"/>
        <v>#N/A</v>
      </c>
      <c r="AT31" s="162" t="e">
        <f t="shared" si="42"/>
        <v>#N/A</v>
      </c>
      <c r="AU31" s="162" t="e">
        <f t="shared" si="42"/>
        <v>#N/A</v>
      </c>
      <c r="AV31" s="208" t="s">
        <v>270</v>
      </c>
      <c r="AW31" s="162" t="e">
        <f t="shared" si="42"/>
        <v>#N/A</v>
      </c>
      <c r="AX31" s="162" t="e">
        <f t="shared" si="42"/>
        <v>#N/A</v>
      </c>
      <c r="AY31" s="162" t="e">
        <f t="shared" si="42"/>
        <v>#N/A</v>
      </c>
      <c r="AZ31" s="162" t="e">
        <f t="shared" si="42"/>
        <v>#N/A</v>
      </c>
      <c r="BA31" s="162" t="e">
        <f t="shared" si="42"/>
        <v>#N/A</v>
      </c>
      <c r="BB31" s="208" t="s">
        <v>270</v>
      </c>
      <c r="BC31" s="162" t="e">
        <f t="shared" si="43"/>
        <v>#N/A</v>
      </c>
      <c r="BD31" s="162" t="e">
        <f t="shared" si="43"/>
        <v>#N/A</v>
      </c>
      <c r="BE31" s="162" t="e">
        <f t="shared" si="43"/>
        <v>#N/A</v>
      </c>
      <c r="BF31" s="162" t="e">
        <f t="shared" si="43"/>
        <v>#N/A</v>
      </c>
      <c r="BG31" s="162" t="e">
        <f t="shared" si="43"/>
        <v>#N/A</v>
      </c>
      <c r="BH31" s="208" t="s">
        <v>270</v>
      </c>
      <c r="BI31" s="162" t="e">
        <f t="shared" si="44"/>
        <v>#N/A</v>
      </c>
      <c r="BJ31" s="162" t="e">
        <f t="shared" si="44"/>
        <v>#N/A</v>
      </c>
      <c r="BK31" s="162" t="e">
        <f t="shared" si="44"/>
        <v>#N/A</v>
      </c>
      <c r="BL31" s="162" t="e">
        <f t="shared" si="44"/>
        <v>#N/A</v>
      </c>
      <c r="BM31" s="162" t="e">
        <f t="shared" si="44"/>
        <v>#N/A</v>
      </c>
      <c r="BO31" s="162" t="e">
        <f t="shared" si="45"/>
        <v>#N/A</v>
      </c>
      <c r="BP31" s="162" t="e">
        <f t="shared" si="46"/>
        <v>#N/A</v>
      </c>
      <c r="BQ31" s="162" t="e">
        <f t="shared" si="47"/>
        <v>#N/A</v>
      </c>
      <c r="BR31" s="162" t="e">
        <f t="shared" si="48"/>
        <v>#N/A</v>
      </c>
      <c r="BS31" s="162" t="e">
        <f t="shared" si="49"/>
        <v>#N/A</v>
      </c>
      <c r="BT31" s="112" t="e">
        <f t="shared" si="50"/>
        <v>#N/A</v>
      </c>
      <c r="BU31" s="178" t="e">
        <f t="shared" si="51"/>
        <v>#N/A</v>
      </c>
      <c r="BV31" s="488" t="e">
        <f t="shared" si="52"/>
        <v>#N/A</v>
      </c>
      <c r="BW31" s="488" t="e">
        <f t="shared" si="60"/>
        <v>#N/A</v>
      </c>
      <c r="BX31" s="488" t="e">
        <f t="shared" si="61"/>
        <v>#N/A</v>
      </c>
      <c r="BY31" s="488" t="e">
        <f t="shared" si="62"/>
        <v>#N/A</v>
      </c>
      <c r="BZ31" s="488" t="e">
        <f t="shared" si="63"/>
        <v>#N/A</v>
      </c>
      <c r="CA31" s="178" t="e">
        <f t="shared" si="53"/>
        <v>#N/A</v>
      </c>
      <c r="CB31" s="488" t="e">
        <f t="shared" si="54"/>
        <v>#N/A</v>
      </c>
      <c r="CC31" s="488" t="e">
        <f t="shared" si="24"/>
        <v>#N/A</v>
      </c>
      <c r="CD31" s="488" t="e">
        <f t="shared" si="25"/>
        <v>#N/A</v>
      </c>
      <c r="CE31" s="488" t="e">
        <f t="shared" si="26"/>
        <v>#N/A</v>
      </c>
      <c r="CF31" s="488" t="e">
        <f t="shared" si="27"/>
        <v>#N/A</v>
      </c>
      <c r="CG31" s="178" t="e">
        <f t="shared" si="55"/>
        <v>#N/A</v>
      </c>
      <c r="CH31" s="488" t="e">
        <f t="shared" si="56"/>
        <v>#N/A</v>
      </c>
      <c r="CI31" s="488" t="e">
        <f t="shared" si="28"/>
        <v>#N/A</v>
      </c>
      <c r="CJ31" s="488" t="e">
        <f t="shared" si="29"/>
        <v>#N/A</v>
      </c>
      <c r="CK31" s="488" t="e">
        <f t="shared" si="30"/>
        <v>#N/A</v>
      </c>
      <c r="CL31" s="488" t="e">
        <f t="shared" si="31"/>
        <v>#N/A</v>
      </c>
      <c r="CM31" s="178" t="e">
        <f t="shared" si="57"/>
        <v>#N/A</v>
      </c>
      <c r="CN31" s="488" t="e">
        <f t="shared" si="58"/>
        <v>#N/A</v>
      </c>
      <c r="CO31" s="488" t="e">
        <f t="shared" si="32"/>
        <v>#N/A</v>
      </c>
      <c r="CP31" s="488" t="e">
        <f t="shared" si="33"/>
        <v>#N/A</v>
      </c>
      <c r="CQ31" s="488" t="e">
        <f t="shared" si="34"/>
        <v>#N/A</v>
      </c>
      <c r="CR31" s="488" t="e">
        <f t="shared" si="35"/>
        <v>#N/A</v>
      </c>
      <c r="CS31" s="35"/>
      <c r="CT31" s="35"/>
      <c r="CU31" s="35"/>
      <c r="CV31" s="35"/>
    </row>
    <row r="32" spans="1:100" x14ac:dyDescent="0.25">
      <c r="B32" s="207"/>
      <c r="C32" s="206">
        <v>1</v>
      </c>
      <c r="D32" s="211">
        <f>COUNTIF(D8:D31,"YES")</f>
        <v>24</v>
      </c>
      <c r="E32" s="183" t="e">
        <f t="shared" ref="E32:AH32" si="64">SUM(E8:E31)</f>
        <v>#N/A</v>
      </c>
      <c r="F32" s="161" t="e">
        <f t="shared" si="64"/>
        <v>#N/A</v>
      </c>
      <c r="G32" s="161" t="e">
        <f t="shared" si="64"/>
        <v>#N/A</v>
      </c>
      <c r="H32" s="161" t="e">
        <f t="shared" si="64"/>
        <v>#N/A</v>
      </c>
      <c r="I32" s="161" t="e">
        <f t="shared" si="64"/>
        <v>#N/A</v>
      </c>
      <c r="J32" s="153" t="e">
        <f t="shared" si="64"/>
        <v>#N/A</v>
      </c>
      <c r="K32" s="156" t="e">
        <f t="shared" si="64"/>
        <v>#N/A</v>
      </c>
      <c r="L32" s="161" t="e">
        <f t="shared" si="64"/>
        <v>#N/A</v>
      </c>
      <c r="M32" s="161" t="e">
        <f t="shared" si="64"/>
        <v>#N/A</v>
      </c>
      <c r="N32" s="161" t="e">
        <f t="shared" si="64"/>
        <v>#N/A</v>
      </c>
      <c r="O32" s="161" t="e">
        <f t="shared" si="64"/>
        <v>#N/A</v>
      </c>
      <c r="P32" s="153" t="e">
        <f t="shared" si="64"/>
        <v>#N/A</v>
      </c>
      <c r="Q32" s="183" t="e">
        <f t="shared" si="64"/>
        <v>#N/A</v>
      </c>
      <c r="R32" s="161" t="e">
        <f t="shared" si="64"/>
        <v>#N/A</v>
      </c>
      <c r="S32" s="161" t="e">
        <f t="shared" si="64"/>
        <v>#N/A</v>
      </c>
      <c r="T32" s="161" t="e">
        <f t="shared" si="64"/>
        <v>#N/A</v>
      </c>
      <c r="U32" s="161" t="e">
        <f t="shared" si="64"/>
        <v>#N/A</v>
      </c>
      <c r="V32" s="153" t="e">
        <f t="shared" si="64"/>
        <v>#N/A</v>
      </c>
      <c r="W32" s="183" t="e">
        <f t="shared" si="64"/>
        <v>#N/A</v>
      </c>
      <c r="X32" s="161" t="e">
        <f t="shared" si="64"/>
        <v>#N/A</v>
      </c>
      <c r="Y32" s="161" t="e">
        <f t="shared" si="64"/>
        <v>#N/A</v>
      </c>
      <c r="Z32" s="161" t="e">
        <f t="shared" si="64"/>
        <v>#N/A</v>
      </c>
      <c r="AA32" s="161" t="e">
        <f t="shared" si="64"/>
        <v>#N/A</v>
      </c>
      <c r="AB32" s="153" t="e">
        <f t="shared" si="64"/>
        <v>#N/A</v>
      </c>
      <c r="AC32" s="156" t="e">
        <f t="shared" si="64"/>
        <v>#N/A</v>
      </c>
      <c r="AD32" s="161" t="e">
        <f t="shared" si="64"/>
        <v>#N/A</v>
      </c>
      <c r="AE32" s="161" t="e">
        <f t="shared" si="64"/>
        <v>#N/A</v>
      </c>
      <c r="AF32" s="161" t="e">
        <f t="shared" si="64"/>
        <v>#N/A</v>
      </c>
      <c r="AG32" s="161" t="e">
        <f t="shared" si="64"/>
        <v>#N/A</v>
      </c>
      <c r="AH32" s="161" t="e">
        <f t="shared" si="64"/>
        <v>#N/A</v>
      </c>
      <c r="AJ32" s="210" t="s">
        <v>270</v>
      </c>
      <c r="AK32" s="210" t="s">
        <v>270</v>
      </c>
      <c r="AL32" s="210" t="s">
        <v>270</v>
      </c>
      <c r="AM32" s="210" t="s">
        <v>270</v>
      </c>
      <c r="AN32" s="210" t="s">
        <v>270</v>
      </c>
      <c r="AO32" s="210" t="s">
        <v>270</v>
      </c>
      <c r="AP32" s="209" t="s">
        <v>270</v>
      </c>
      <c r="AQ32" s="161" t="e">
        <f>ADTPC1wz-Volumes!L32</f>
        <v>#N/A</v>
      </c>
      <c r="AR32" s="161" t="e">
        <f>ADTSU1wz-Volumes!M32</f>
        <v>#N/A</v>
      </c>
      <c r="AS32" s="161" t="e">
        <f>ADTCT1wz-Volumes!N32</f>
        <v>#N/A</v>
      </c>
      <c r="AT32" s="161" t="e">
        <f>ADTRV1wz-Volumes!O32</f>
        <v>#N/A</v>
      </c>
      <c r="AU32" s="161" t="e">
        <f>ADTPCE1wz-Volumes!P32</f>
        <v>#N/A</v>
      </c>
      <c r="AV32" s="209" t="s">
        <v>270</v>
      </c>
      <c r="AW32" s="161" t="e">
        <f>ADTPC1d1-Volumes!R32</f>
        <v>#N/A</v>
      </c>
      <c r="AX32" s="161" t="e">
        <f>ADTSU1d1-Volumes!S32</f>
        <v>#N/A</v>
      </c>
      <c r="AY32" s="161" t="e">
        <f>ADTCT1d1-Volumes!T32</f>
        <v>#N/A</v>
      </c>
      <c r="AZ32" s="161" t="e">
        <f>ADTRV1d1-Volumes!U32</f>
        <v>#N/A</v>
      </c>
      <c r="BA32" s="161" t="e">
        <f>ADTPCE1d1-Volumes!V32</f>
        <v>#N/A</v>
      </c>
      <c r="BB32" s="209" t="s">
        <v>270</v>
      </c>
      <c r="BC32" s="161" t="e">
        <f>ADTPC1d2-Volumes!X32</f>
        <v>#N/A</v>
      </c>
      <c r="BD32" s="161" t="e">
        <f>ADTSU1d2-Volumes!Y32</f>
        <v>#N/A</v>
      </c>
      <c r="BE32" s="161" t="e">
        <f>ADTCT1d2-Volumes!Z32</f>
        <v>#N/A</v>
      </c>
      <c r="BF32" s="161" t="e">
        <f>ADTRV1d2-Volumes!AA32</f>
        <v>#N/A</v>
      </c>
      <c r="BG32" s="161" t="e">
        <f>ADTPCE1d2-Volumes!AB32</f>
        <v>#N/A</v>
      </c>
      <c r="BH32" s="209" t="s">
        <v>270</v>
      </c>
      <c r="BI32" s="161" t="e">
        <f>ADTPC1d3-Volumes!AD32</f>
        <v>#N/A</v>
      </c>
      <c r="BJ32" s="161" t="e">
        <f>ADTSU1d3-Volumes!AE32</f>
        <v>#N/A</v>
      </c>
      <c r="BK32" s="161" t="e">
        <f>ADTCT1d3-Volumes!AF32</f>
        <v>#N/A</v>
      </c>
      <c r="BL32" s="161" t="e">
        <f>ADTRV1d3-Volumes!AG32</f>
        <v>#N/A</v>
      </c>
      <c r="BM32" s="161" t="e">
        <f>ADTPCE1d3-Volumes!AH32</f>
        <v>#N/A</v>
      </c>
      <c r="BO32" s="161" t="e">
        <f t="shared" ref="BO32:CR32" si="65">SUM(BO8:BO31)</f>
        <v>#N/A</v>
      </c>
      <c r="BP32" s="161" t="e">
        <f t="shared" si="65"/>
        <v>#N/A</v>
      </c>
      <c r="BQ32" s="161" t="e">
        <f t="shared" si="65"/>
        <v>#N/A</v>
      </c>
      <c r="BR32" s="161" t="e">
        <f t="shared" si="65"/>
        <v>#N/A</v>
      </c>
      <c r="BS32" s="161" t="e">
        <f t="shared" si="65"/>
        <v>#N/A</v>
      </c>
      <c r="BT32" s="153" t="e">
        <f t="shared" si="65"/>
        <v>#N/A</v>
      </c>
      <c r="BU32" s="183" t="e">
        <f t="shared" si="65"/>
        <v>#N/A</v>
      </c>
      <c r="BV32" s="161" t="e">
        <f t="shared" si="65"/>
        <v>#N/A</v>
      </c>
      <c r="BW32" s="161" t="e">
        <f t="shared" si="65"/>
        <v>#N/A</v>
      </c>
      <c r="BX32" s="161" t="e">
        <f t="shared" si="65"/>
        <v>#N/A</v>
      </c>
      <c r="BY32" s="161" t="e">
        <f t="shared" si="65"/>
        <v>#N/A</v>
      </c>
      <c r="BZ32" s="153" t="e">
        <f t="shared" si="65"/>
        <v>#N/A</v>
      </c>
      <c r="CA32" s="183" t="e">
        <f t="shared" si="65"/>
        <v>#N/A</v>
      </c>
      <c r="CB32" s="161" t="e">
        <f t="shared" si="65"/>
        <v>#N/A</v>
      </c>
      <c r="CC32" s="161" t="e">
        <f t="shared" si="65"/>
        <v>#N/A</v>
      </c>
      <c r="CD32" s="161" t="e">
        <f t="shared" si="65"/>
        <v>#N/A</v>
      </c>
      <c r="CE32" s="161" t="e">
        <f t="shared" si="65"/>
        <v>#N/A</v>
      </c>
      <c r="CF32" s="153" t="e">
        <f t="shared" si="65"/>
        <v>#N/A</v>
      </c>
      <c r="CG32" s="183" t="e">
        <f t="shared" si="65"/>
        <v>#N/A</v>
      </c>
      <c r="CH32" s="161" t="e">
        <f t="shared" si="65"/>
        <v>#N/A</v>
      </c>
      <c r="CI32" s="161" t="e">
        <f t="shared" si="65"/>
        <v>#N/A</v>
      </c>
      <c r="CJ32" s="161" t="e">
        <f t="shared" si="65"/>
        <v>#N/A</v>
      </c>
      <c r="CK32" s="161" t="e">
        <f t="shared" si="65"/>
        <v>#N/A</v>
      </c>
      <c r="CL32" s="153" t="e">
        <f t="shared" si="65"/>
        <v>#N/A</v>
      </c>
      <c r="CM32" s="156" t="e">
        <f t="shared" si="65"/>
        <v>#N/A</v>
      </c>
      <c r="CN32" s="161" t="e">
        <f t="shared" si="65"/>
        <v>#N/A</v>
      </c>
      <c r="CO32" s="161" t="e">
        <f t="shared" si="65"/>
        <v>#N/A</v>
      </c>
      <c r="CP32" s="161" t="e">
        <f t="shared" si="65"/>
        <v>#N/A</v>
      </c>
      <c r="CQ32" s="161" t="e">
        <f t="shared" si="65"/>
        <v>#N/A</v>
      </c>
      <c r="CR32" s="161" t="e">
        <f t="shared" si="65"/>
        <v>#N/A</v>
      </c>
      <c r="CS32" s="35"/>
      <c r="CT32" s="35"/>
      <c r="CU32" s="35"/>
      <c r="CV32" s="35"/>
    </row>
    <row r="33" spans="1:101" x14ac:dyDescent="0.25">
      <c r="CS33" s="35"/>
      <c r="CT33" s="35"/>
      <c r="CU33" s="35"/>
      <c r="CV33" s="35"/>
    </row>
    <row r="34" spans="1:101" x14ac:dyDescent="0.25">
      <c r="B34" s="35"/>
      <c r="C34" s="35"/>
      <c r="E34" s="1130" t="s">
        <v>570</v>
      </c>
      <c r="F34" s="1130"/>
      <c r="G34" s="1130"/>
      <c r="H34" s="1130"/>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130"/>
      <c r="AF34" s="1130"/>
      <c r="AG34" s="1130"/>
      <c r="AH34" s="1130"/>
      <c r="AI34" s="35"/>
      <c r="AJ34" s="1131" t="s">
        <v>571</v>
      </c>
      <c r="AK34" s="1131"/>
      <c r="AL34" s="1131"/>
      <c r="AM34" s="1131"/>
      <c r="AN34" s="1131"/>
      <c r="AO34" s="1131"/>
      <c r="AP34" s="1131"/>
      <c r="AQ34" s="1131"/>
      <c r="AR34" s="1131"/>
      <c r="AS34" s="1131"/>
      <c r="AT34" s="1131"/>
      <c r="AU34" s="1131"/>
      <c r="AV34" s="1131"/>
      <c r="AW34" s="1131"/>
      <c r="AX34" s="1131"/>
      <c r="AY34" s="1131"/>
      <c r="AZ34" s="1131"/>
      <c r="BA34" s="1131"/>
      <c r="BB34" s="1131"/>
      <c r="BC34" s="1131"/>
      <c r="BD34" s="1131"/>
      <c r="BE34" s="1131"/>
      <c r="BF34" s="1131"/>
      <c r="BG34" s="1131"/>
      <c r="BH34" s="1131"/>
      <c r="BI34" s="1131"/>
      <c r="BJ34" s="1131"/>
      <c r="BK34" s="1131"/>
      <c r="BL34" s="1131"/>
      <c r="BM34" s="1131"/>
      <c r="BO34" s="1136" t="s">
        <v>572</v>
      </c>
      <c r="BP34" s="1137"/>
      <c r="BQ34" s="1137"/>
      <c r="BR34" s="1137"/>
      <c r="BS34" s="1137"/>
      <c r="BT34" s="1137"/>
      <c r="BU34" s="1137"/>
      <c r="BV34" s="1137"/>
      <c r="BW34" s="1137"/>
      <c r="BX34" s="1137"/>
      <c r="BY34" s="1137"/>
      <c r="BZ34" s="1137"/>
      <c r="CA34" s="1137"/>
      <c r="CB34" s="1137"/>
      <c r="CC34" s="1137"/>
      <c r="CD34" s="1137"/>
      <c r="CE34" s="1137"/>
      <c r="CF34" s="1137"/>
      <c r="CG34" s="1137"/>
      <c r="CH34" s="1137"/>
      <c r="CI34" s="1137"/>
      <c r="CJ34" s="1137"/>
      <c r="CK34" s="1137"/>
      <c r="CL34" s="1137"/>
      <c r="CM34" s="1137"/>
      <c r="CN34" s="1137"/>
      <c r="CO34" s="1137"/>
      <c r="CP34" s="1137"/>
      <c r="CQ34" s="1137"/>
      <c r="CR34" s="1138"/>
      <c r="CS34" s="35"/>
      <c r="CT34" s="35"/>
      <c r="CU34" s="35"/>
      <c r="CV34" s="35"/>
    </row>
    <row r="35" spans="1:101" x14ac:dyDescent="0.25">
      <c r="B35" s="1126" t="str">
        <f>SecondDirection</f>
        <v>Direction 2</v>
      </c>
      <c r="C35" s="1127"/>
      <c r="D35" s="1127"/>
      <c r="E35" s="1134" t="s">
        <v>239</v>
      </c>
      <c r="F35" s="1128"/>
      <c r="G35" s="1128"/>
      <c r="H35" s="1128"/>
      <c r="I35" s="1128"/>
      <c r="J35" s="1135"/>
      <c r="K35" s="1133" t="s">
        <v>562</v>
      </c>
      <c r="L35" s="1128"/>
      <c r="M35" s="1128"/>
      <c r="N35" s="1128"/>
      <c r="O35" s="1128"/>
      <c r="P35" s="1128"/>
      <c r="Q35" s="1128" t="str">
        <f>FirstDetourName</f>
        <v>Primary Detour</v>
      </c>
      <c r="R35" s="1128"/>
      <c r="S35" s="1128"/>
      <c r="T35" s="1128"/>
      <c r="U35" s="1128"/>
      <c r="V35" s="1128"/>
      <c r="W35" s="1128" t="str">
        <f>SecondDetourName</f>
        <v>Secondary Detour</v>
      </c>
      <c r="X35" s="1128"/>
      <c r="Y35" s="1128"/>
      <c r="Z35" s="1128"/>
      <c r="AA35" s="1128"/>
      <c r="AB35" s="1128"/>
      <c r="AC35" s="1128" t="str">
        <f>ThirdDetourName</f>
        <v>Tertiary Detour</v>
      </c>
      <c r="AD35" s="1128"/>
      <c r="AE35" s="1128"/>
      <c r="AF35" s="1128"/>
      <c r="AG35" s="1128"/>
      <c r="AH35" s="1129"/>
      <c r="AI35" s="35"/>
      <c r="AJ35" s="1132" t="s">
        <v>239</v>
      </c>
      <c r="AK35" s="1128"/>
      <c r="AL35" s="1128"/>
      <c r="AM35" s="1128"/>
      <c r="AN35" s="1128"/>
      <c r="AO35" s="1128"/>
      <c r="AP35" s="1128" t="s">
        <v>562</v>
      </c>
      <c r="AQ35" s="1128"/>
      <c r="AR35" s="1128"/>
      <c r="AS35" s="1128"/>
      <c r="AT35" s="1128"/>
      <c r="AU35" s="1128"/>
      <c r="AV35" s="1128" t="str">
        <f>FirstDetourName</f>
        <v>Primary Detour</v>
      </c>
      <c r="AW35" s="1128"/>
      <c r="AX35" s="1128"/>
      <c r="AY35" s="1128"/>
      <c r="AZ35" s="1128"/>
      <c r="BA35" s="1128"/>
      <c r="BB35" s="1128" t="str">
        <f>SecondDetourName</f>
        <v>Secondary Detour</v>
      </c>
      <c r="BC35" s="1128"/>
      <c r="BD35" s="1128"/>
      <c r="BE35" s="1128"/>
      <c r="BF35" s="1128"/>
      <c r="BG35" s="1128"/>
      <c r="BH35" s="1128" t="str">
        <f>ThirdDetourName</f>
        <v>Tertiary Detour</v>
      </c>
      <c r="BI35" s="1128"/>
      <c r="BJ35" s="1128"/>
      <c r="BK35" s="1128"/>
      <c r="BL35" s="1128"/>
      <c r="BM35" s="1129"/>
      <c r="BO35" s="1132" t="s">
        <v>239</v>
      </c>
      <c r="BP35" s="1128"/>
      <c r="BQ35" s="1128"/>
      <c r="BR35" s="1128"/>
      <c r="BS35" s="1128"/>
      <c r="BT35" s="1128"/>
      <c r="BU35" s="1128" t="s">
        <v>562</v>
      </c>
      <c r="BV35" s="1128"/>
      <c r="BW35" s="1128"/>
      <c r="BX35" s="1128"/>
      <c r="BY35" s="1128"/>
      <c r="BZ35" s="1128"/>
      <c r="CA35" s="1128" t="str">
        <f>FirstDetourName</f>
        <v>Primary Detour</v>
      </c>
      <c r="CB35" s="1128"/>
      <c r="CC35" s="1128"/>
      <c r="CD35" s="1128"/>
      <c r="CE35" s="1128"/>
      <c r="CF35" s="1128"/>
      <c r="CG35" s="1128" t="str">
        <f>SecondDetourName</f>
        <v>Secondary Detour</v>
      </c>
      <c r="CH35" s="1128"/>
      <c r="CI35" s="1128"/>
      <c r="CJ35" s="1128"/>
      <c r="CK35" s="1128"/>
      <c r="CL35" s="1128"/>
      <c r="CM35" s="1128" t="str">
        <f>ThirdDetourName</f>
        <v>Tertiary Detour</v>
      </c>
      <c r="CN35" s="1128"/>
      <c r="CO35" s="1128"/>
      <c r="CP35" s="1128"/>
      <c r="CQ35" s="1128"/>
      <c r="CR35" s="1129"/>
      <c r="CS35" s="35"/>
      <c r="CT35" s="35"/>
      <c r="CU35" s="35"/>
      <c r="CV35" s="35"/>
    </row>
    <row r="36" spans="1:101" x14ac:dyDescent="0.25">
      <c r="B36" s="161" t="s">
        <v>178</v>
      </c>
      <c r="C36" s="154" t="s">
        <v>356</v>
      </c>
      <c r="D36" s="154" t="s">
        <v>528</v>
      </c>
      <c r="E36" s="183" t="s">
        <v>239</v>
      </c>
      <c r="F36" s="161" t="s">
        <v>203</v>
      </c>
      <c r="G36" s="161" t="s">
        <v>176</v>
      </c>
      <c r="H36" s="161" t="s">
        <v>559</v>
      </c>
      <c r="I36" s="161" t="s">
        <v>558</v>
      </c>
      <c r="J36" s="153" t="s">
        <v>533</v>
      </c>
      <c r="K36" s="156" t="s">
        <v>239</v>
      </c>
      <c r="L36" s="161" t="s">
        <v>203</v>
      </c>
      <c r="M36" s="161" t="s">
        <v>176</v>
      </c>
      <c r="N36" s="161" t="s">
        <v>559</v>
      </c>
      <c r="O36" s="161" t="s">
        <v>558</v>
      </c>
      <c r="P36" s="153" t="s">
        <v>533</v>
      </c>
      <c r="Q36" s="183" t="s">
        <v>239</v>
      </c>
      <c r="R36" s="161" t="s">
        <v>203</v>
      </c>
      <c r="S36" s="161" t="s">
        <v>176</v>
      </c>
      <c r="T36" s="161" t="s">
        <v>559</v>
      </c>
      <c r="U36" s="161" t="s">
        <v>558</v>
      </c>
      <c r="V36" s="153" t="s">
        <v>533</v>
      </c>
      <c r="W36" s="183" t="s">
        <v>239</v>
      </c>
      <c r="X36" s="161" t="s">
        <v>203</v>
      </c>
      <c r="Y36" s="161" t="s">
        <v>176</v>
      </c>
      <c r="Z36" s="161" t="s">
        <v>559</v>
      </c>
      <c r="AA36" s="161" t="s">
        <v>558</v>
      </c>
      <c r="AB36" s="153" t="s">
        <v>533</v>
      </c>
      <c r="AC36" s="156" t="s">
        <v>239</v>
      </c>
      <c r="AD36" s="161" t="s">
        <v>203</v>
      </c>
      <c r="AE36" s="161" t="s">
        <v>176</v>
      </c>
      <c r="AF36" s="161" t="s">
        <v>559</v>
      </c>
      <c r="AG36" s="161" t="s">
        <v>558</v>
      </c>
      <c r="AH36" s="161" t="s">
        <v>533</v>
      </c>
      <c r="AI36" s="35"/>
      <c r="AJ36" s="161" t="s">
        <v>239</v>
      </c>
      <c r="AK36" s="161" t="s">
        <v>203</v>
      </c>
      <c r="AL36" s="161" t="s">
        <v>176</v>
      </c>
      <c r="AM36" s="161" t="s">
        <v>559</v>
      </c>
      <c r="AN36" s="161" t="s">
        <v>558</v>
      </c>
      <c r="AO36" s="153" t="s">
        <v>533</v>
      </c>
      <c r="AP36" s="183" t="s">
        <v>239</v>
      </c>
      <c r="AQ36" s="161" t="s">
        <v>203</v>
      </c>
      <c r="AR36" s="161" t="s">
        <v>176</v>
      </c>
      <c r="AS36" s="161" t="s">
        <v>559</v>
      </c>
      <c r="AT36" s="161" t="s">
        <v>558</v>
      </c>
      <c r="AU36" s="153" t="s">
        <v>533</v>
      </c>
      <c r="AV36" s="183" t="s">
        <v>239</v>
      </c>
      <c r="AW36" s="161" t="s">
        <v>203</v>
      </c>
      <c r="AX36" s="161" t="s">
        <v>176</v>
      </c>
      <c r="AY36" s="161" t="s">
        <v>559</v>
      </c>
      <c r="AZ36" s="161" t="s">
        <v>558</v>
      </c>
      <c r="BA36" s="153" t="s">
        <v>533</v>
      </c>
      <c r="BB36" s="183" t="s">
        <v>239</v>
      </c>
      <c r="BC36" s="161" t="s">
        <v>203</v>
      </c>
      <c r="BD36" s="161" t="s">
        <v>176</v>
      </c>
      <c r="BE36" s="161" t="s">
        <v>559</v>
      </c>
      <c r="BF36" s="161" t="s">
        <v>558</v>
      </c>
      <c r="BG36" s="153" t="s">
        <v>533</v>
      </c>
      <c r="BH36" s="156" t="s">
        <v>239</v>
      </c>
      <c r="BI36" s="161" t="s">
        <v>203</v>
      </c>
      <c r="BJ36" s="161" t="s">
        <v>176</v>
      </c>
      <c r="BK36" s="161" t="s">
        <v>559</v>
      </c>
      <c r="BL36" s="161" t="s">
        <v>558</v>
      </c>
      <c r="BM36" s="161" t="s">
        <v>533</v>
      </c>
      <c r="BO36" s="161" t="s">
        <v>239</v>
      </c>
      <c r="BP36" s="161" t="s">
        <v>203</v>
      </c>
      <c r="BQ36" s="161" t="s">
        <v>176</v>
      </c>
      <c r="BR36" s="161" t="s">
        <v>559</v>
      </c>
      <c r="BS36" s="161" t="s">
        <v>558</v>
      </c>
      <c r="BT36" s="153" t="s">
        <v>533</v>
      </c>
      <c r="BU36" s="183" t="s">
        <v>239</v>
      </c>
      <c r="BV36" s="161" t="s">
        <v>203</v>
      </c>
      <c r="BW36" s="161" t="s">
        <v>176</v>
      </c>
      <c r="BX36" s="161" t="s">
        <v>559</v>
      </c>
      <c r="BY36" s="161" t="s">
        <v>558</v>
      </c>
      <c r="BZ36" s="153" t="s">
        <v>533</v>
      </c>
      <c r="CA36" s="183" t="s">
        <v>239</v>
      </c>
      <c r="CB36" s="161" t="s">
        <v>203</v>
      </c>
      <c r="CC36" s="161" t="s">
        <v>176</v>
      </c>
      <c r="CD36" s="161" t="s">
        <v>559</v>
      </c>
      <c r="CE36" s="161" t="s">
        <v>558</v>
      </c>
      <c r="CF36" s="153" t="s">
        <v>533</v>
      </c>
      <c r="CG36" s="183" t="s">
        <v>239</v>
      </c>
      <c r="CH36" s="161" t="s">
        <v>203</v>
      </c>
      <c r="CI36" s="161" t="s">
        <v>176</v>
      </c>
      <c r="CJ36" s="161" t="s">
        <v>559</v>
      </c>
      <c r="CK36" s="161" t="s">
        <v>558</v>
      </c>
      <c r="CL36" s="153" t="s">
        <v>533</v>
      </c>
      <c r="CM36" s="156" t="s">
        <v>239</v>
      </c>
      <c r="CN36" s="161" t="s">
        <v>203</v>
      </c>
      <c r="CO36" s="161" t="s">
        <v>176</v>
      </c>
      <c r="CP36" s="161" t="s">
        <v>559</v>
      </c>
      <c r="CQ36" s="161" t="s">
        <v>558</v>
      </c>
      <c r="CR36" s="161" t="s">
        <v>533</v>
      </c>
      <c r="CS36" s="35"/>
      <c r="CT36" s="35"/>
      <c r="CU36" s="35"/>
      <c r="CV36" s="35"/>
    </row>
    <row r="37" spans="1:101" x14ac:dyDescent="0.25">
      <c r="A37" s="319"/>
      <c r="B37" s="152">
        <f>IF(TimeStart2="All Day",0,TimeStart2)</f>
        <v>0</v>
      </c>
      <c r="C37" s="205" t="e">
        <f t="shared" ref="C37:C60" si="66">VLOOKUP(B37,HourlyFactor,3)</f>
        <v>#N/A</v>
      </c>
      <c r="D37" s="159" t="s">
        <v>531</v>
      </c>
      <c r="E37" s="178" t="e">
        <f t="shared" ref="E37:J37" si="67">K37+Q37+W37+AC37</f>
        <v>#N/A</v>
      </c>
      <c r="F37" s="162" t="e">
        <f t="shared" si="67"/>
        <v>#N/A</v>
      </c>
      <c r="G37" s="162" t="e">
        <f t="shared" si="67"/>
        <v>#N/A</v>
      </c>
      <c r="H37" s="162" t="e">
        <f t="shared" si="67"/>
        <v>#N/A</v>
      </c>
      <c r="I37" s="162" t="e">
        <f t="shared" si="67"/>
        <v>#N/A</v>
      </c>
      <c r="J37" s="112" t="e">
        <f t="shared" si="67"/>
        <v>#N/A</v>
      </c>
      <c r="K37" s="160" t="e">
        <f>SUM(L37:O37)</f>
        <v>#N/A</v>
      </c>
      <c r="L37" s="162" t="e">
        <f t="shared" ref="L37:L60" si="68">ROUND(ADTPC2wz*($C37/100),0)</f>
        <v>#N/A</v>
      </c>
      <c r="M37" s="162" t="e">
        <f t="shared" ref="M37:M60" si="69">ROUND(ADTSU2wz*($C37/100),0)</f>
        <v>#N/A</v>
      </c>
      <c r="N37" s="162" t="e">
        <f t="shared" ref="N37:N60" si="70">ROUND(ADTCT2wz*($C37/100),0)</f>
        <v>#N/A</v>
      </c>
      <c r="O37" s="162" t="e">
        <f t="shared" ref="O37:O60" si="71">ROUND(ADTRV2wz*($C37/100),0)</f>
        <v>#N/A</v>
      </c>
      <c r="P37" s="112" t="e">
        <f t="shared" ref="P37:P60" si="72">ROUND(ADTPCE2wz*($C37/100),0)</f>
        <v>#N/A</v>
      </c>
      <c r="Q37" s="178" t="e">
        <f>SUM(R37:U37)</f>
        <v>#N/A</v>
      </c>
      <c r="R37" s="162" t="e">
        <f t="shared" ref="R37:R60" si="73">ROUND(ADTPC2d1*($C37/100),0)</f>
        <v>#N/A</v>
      </c>
      <c r="S37" s="162" t="e">
        <f t="shared" ref="S37:S60" si="74">ROUND(ADTSU2d1*($C37/100),0)</f>
        <v>#N/A</v>
      </c>
      <c r="T37" s="162" t="e">
        <f t="shared" ref="T37:T60" si="75">ROUND(ADTCT2d1*($C37/100),0)</f>
        <v>#N/A</v>
      </c>
      <c r="U37" s="162" t="e">
        <f t="shared" ref="U37:U60" si="76">ROUND(ADTRV2d1*($C37/100),0)</f>
        <v>#N/A</v>
      </c>
      <c r="V37" s="112" t="e">
        <f t="shared" ref="V37:V60" si="77">ROUND(ADTPCE2d1*($C37/100),0)</f>
        <v>#N/A</v>
      </c>
      <c r="W37" s="178" t="e">
        <f>SUM(X37:AA37)</f>
        <v>#N/A</v>
      </c>
      <c r="X37" s="162" t="e">
        <f t="shared" ref="X37:X60" si="78">ROUND(ADTPC2d2*($C37/100),0)</f>
        <v>#N/A</v>
      </c>
      <c r="Y37" s="162" t="e">
        <f t="shared" ref="Y37:Y60" si="79">ROUND(ADTSU2d2*($C37/100),0)</f>
        <v>#N/A</v>
      </c>
      <c r="Z37" s="162" t="e">
        <f t="shared" ref="Z37:Z60" si="80">ROUND(ADTCT2d2*($C37/100),0)</f>
        <v>#N/A</v>
      </c>
      <c r="AA37" s="162" t="e">
        <f t="shared" ref="AA37:AA60" si="81">ROUND(ADTRV2d2*($C37/100),0)</f>
        <v>#N/A</v>
      </c>
      <c r="AB37" s="112" t="e">
        <f t="shared" ref="AB37:AB60" si="82">ROUND(ADTPCE2d2*($C37/100),0)</f>
        <v>#N/A</v>
      </c>
      <c r="AC37" s="178" t="e">
        <f>SUM(AD37:AG37)</f>
        <v>#N/A</v>
      </c>
      <c r="AD37" s="162" t="e">
        <f t="shared" ref="AD37:AD60" si="83">ROUND(ADTPC2d3*($C37/100),0)</f>
        <v>#N/A</v>
      </c>
      <c r="AE37" s="162" t="e">
        <f t="shared" ref="AE37:AE60" si="84">ROUND(ADTSU2d3*($C37/100),0)</f>
        <v>#N/A</v>
      </c>
      <c r="AF37" s="162" t="e">
        <f t="shared" ref="AF37:AF60" si="85">ROUND(ADTCT2d3*($C37/100),0)</f>
        <v>#N/A</v>
      </c>
      <c r="AG37" s="162" t="e">
        <f t="shared" ref="AG37:AG60" si="86">ROUND(ADTRV2d3*($C37/100),0)</f>
        <v>#N/A</v>
      </c>
      <c r="AH37" s="162" t="e">
        <f t="shared" ref="AH37:AH60" si="87">ROUND(ADTPCE2d3*($C37/100),0)</f>
        <v>#N/A</v>
      </c>
      <c r="AI37" s="35"/>
      <c r="AJ37" s="166" t="s">
        <v>270</v>
      </c>
      <c r="AK37" s="166" t="s">
        <v>270</v>
      </c>
      <c r="AL37" s="166" t="s">
        <v>270</v>
      </c>
      <c r="AM37" s="166" t="s">
        <v>270</v>
      </c>
      <c r="AN37" s="166" t="s">
        <v>270</v>
      </c>
      <c r="AO37" s="166" t="s">
        <v>270</v>
      </c>
      <c r="AP37" s="208" t="s">
        <v>270</v>
      </c>
      <c r="AQ37" s="162" t="e">
        <f t="shared" ref="AQ37:AQ60" si="88">IF(RANK($C37,$C$37:$C$60)&gt;ABS(AQ$61),0,(AQ$61/ABS(AQ$61)))</f>
        <v>#N/A</v>
      </c>
      <c r="AR37" s="162" t="e">
        <f t="shared" ref="AR37:AU37" si="89">IF(RANK($C37,$C$37:$C$60)&gt;ABS(AR$61),0,(AR$61/ABS(AR$61)))</f>
        <v>#N/A</v>
      </c>
      <c r="AS37" s="162" t="e">
        <f t="shared" si="89"/>
        <v>#N/A</v>
      </c>
      <c r="AT37" s="162" t="e">
        <f t="shared" si="89"/>
        <v>#N/A</v>
      </c>
      <c r="AU37" s="162" t="e">
        <f t="shared" si="89"/>
        <v>#N/A</v>
      </c>
      <c r="AV37" s="208" t="s">
        <v>270</v>
      </c>
      <c r="AW37" s="162" t="e">
        <f t="shared" ref="AW37:AW60" si="90">IF(RANK($C37,$C$37:$C$60)&gt;ABS(AW$61),0,(AW$61/ABS(AW$61)))</f>
        <v>#N/A</v>
      </c>
      <c r="AX37" s="162" t="e">
        <f t="shared" ref="AX37:BA37" si="91">IF(RANK($C37,$C$37:$C$60)&gt;ABS(AX$61),0,(AX$61/ABS(AX$61)))</f>
        <v>#N/A</v>
      </c>
      <c r="AY37" s="162" t="e">
        <f t="shared" si="91"/>
        <v>#N/A</v>
      </c>
      <c r="AZ37" s="162" t="e">
        <f t="shared" si="91"/>
        <v>#N/A</v>
      </c>
      <c r="BA37" s="162" t="e">
        <f t="shared" si="91"/>
        <v>#N/A</v>
      </c>
      <c r="BB37" s="208" t="s">
        <v>270</v>
      </c>
      <c r="BC37" s="162" t="e">
        <f>IF(RANK($C37,$C$37:$C$60)&gt;ABS(BC$61),0,(BC$61/ABS(BC$61)))</f>
        <v>#N/A</v>
      </c>
      <c r="BD37" s="162" t="e">
        <f t="shared" ref="BC37:BG52" si="92">IF(RANK($C37,$C$37:$C$60)&gt;ABS(BD$61),0,(BD$61/ABS(BD$61)))</f>
        <v>#N/A</v>
      </c>
      <c r="BE37" s="162" t="e">
        <f t="shared" si="92"/>
        <v>#N/A</v>
      </c>
      <c r="BF37" s="162" t="e">
        <f t="shared" si="92"/>
        <v>#N/A</v>
      </c>
      <c r="BG37" s="162" t="e">
        <f t="shared" si="92"/>
        <v>#N/A</v>
      </c>
      <c r="BH37" s="208" t="s">
        <v>270</v>
      </c>
      <c r="BI37" s="162" t="e">
        <f>IF(RANK($C37,$C$37:$C$60)&gt;ABS(BI$61),0,(BI$61/ABS(BI$61)))</f>
        <v>#N/A</v>
      </c>
      <c r="BJ37" s="162" t="e">
        <f t="shared" ref="BJ37:BM37" si="93">IF(RANK($C37,$C$37:$C$60)&gt;ABS(BJ$61),0,(BJ$61/ABS(BJ$61)))</f>
        <v>#N/A</v>
      </c>
      <c r="BK37" s="162" t="e">
        <f t="shared" si="93"/>
        <v>#N/A</v>
      </c>
      <c r="BL37" s="162" t="e">
        <f t="shared" si="93"/>
        <v>#N/A</v>
      </c>
      <c r="BM37" s="162" t="e">
        <f t="shared" si="93"/>
        <v>#N/A</v>
      </c>
      <c r="BO37" s="162" t="e">
        <f t="shared" ref="BO37:BT37" si="94">BU37+CA37+CG37+CM37</f>
        <v>#N/A</v>
      </c>
      <c r="BP37" s="162" t="e">
        <f t="shared" si="94"/>
        <v>#N/A</v>
      </c>
      <c r="BQ37" s="162" t="e">
        <f t="shared" si="94"/>
        <v>#N/A</v>
      </c>
      <c r="BR37" s="162" t="e">
        <f t="shared" si="94"/>
        <v>#N/A</v>
      </c>
      <c r="BS37" s="162" t="e">
        <f t="shared" si="94"/>
        <v>#N/A</v>
      </c>
      <c r="BT37" s="112" t="e">
        <f t="shared" si="94"/>
        <v>#N/A</v>
      </c>
      <c r="BU37" s="178" t="e">
        <f>SUM(BV37:BY37)</f>
        <v>#N/A</v>
      </c>
      <c r="BV37" s="473" t="e">
        <f>L37+AQ37</f>
        <v>#N/A</v>
      </c>
      <c r="BW37" s="488" t="e">
        <f t="shared" ref="BW37:BZ52" si="95">M37+AR37</f>
        <v>#N/A</v>
      </c>
      <c r="BX37" s="488" t="e">
        <f t="shared" si="95"/>
        <v>#N/A</v>
      </c>
      <c r="BY37" s="488" t="e">
        <f t="shared" si="95"/>
        <v>#N/A</v>
      </c>
      <c r="BZ37" s="488" t="e">
        <f t="shared" si="95"/>
        <v>#N/A</v>
      </c>
      <c r="CA37" s="178" t="e">
        <f>SUM(CB37:CE37)</f>
        <v>#N/A</v>
      </c>
      <c r="CB37" s="488" t="e">
        <f>R37+AW37</f>
        <v>#N/A</v>
      </c>
      <c r="CC37" s="488" t="e">
        <f t="shared" ref="CC37:CC60" si="96">S37+AX37</f>
        <v>#N/A</v>
      </c>
      <c r="CD37" s="488" t="e">
        <f t="shared" ref="CD37:CD60" si="97">T37+AY37</f>
        <v>#N/A</v>
      </c>
      <c r="CE37" s="488" t="e">
        <f t="shared" ref="CE37:CE60" si="98">U37+AZ37</f>
        <v>#N/A</v>
      </c>
      <c r="CF37" s="488" t="e">
        <f t="shared" ref="CF37:CF60" si="99">V37+BA37</f>
        <v>#N/A</v>
      </c>
      <c r="CG37" s="178" t="e">
        <f>SUM(CH37:CK37)</f>
        <v>#N/A</v>
      </c>
      <c r="CH37" s="488" t="e">
        <f>X37+BC37</f>
        <v>#N/A</v>
      </c>
      <c r="CI37" s="488" t="e">
        <f t="shared" ref="CI37:CI60" si="100">Y37+BD37</f>
        <v>#N/A</v>
      </c>
      <c r="CJ37" s="488" t="e">
        <f t="shared" ref="CJ37:CJ60" si="101">Z37+BE37</f>
        <v>#N/A</v>
      </c>
      <c r="CK37" s="488" t="e">
        <f t="shared" ref="CK37:CK60" si="102">AA37+BF37</f>
        <v>#N/A</v>
      </c>
      <c r="CL37" s="488" t="e">
        <f t="shared" ref="CL37:CL60" si="103">AB37+BG37</f>
        <v>#N/A</v>
      </c>
      <c r="CM37" s="178" t="e">
        <f>SUM(CN37:CQ37)</f>
        <v>#N/A</v>
      </c>
      <c r="CN37" s="488" t="e">
        <f>AD37+BI37</f>
        <v>#N/A</v>
      </c>
      <c r="CO37" s="488" t="e">
        <f t="shared" ref="CO37:CO60" si="104">AE37+BJ37</f>
        <v>#N/A</v>
      </c>
      <c r="CP37" s="488" t="e">
        <f t="shared" ref="CP37:CP60" si="105">AF37+BK37</f>
        <v>#N/A</v>
      </c>
      <c r="CQ37" s="488" t="e">
        <f t="shared" ref="CQ37:CQ60" si="106">AG37+BL37</f>
        <v>#N/A</v>
      </c>
      <c r="CR37" s="488" t="e">
        <f t="shared" ref="CR37:CR60" si="107">AH37+BM37</f>
        <v>#N/A</v>
      </c>
      <c r="CS37" s="35"/>
      <c r="CT37" s="35"/>
      <c r="CU37" s="35"/>
      <c r="CV37" s="35"/>
      <c r="CW37" s="35"/>
    </row>
    <row r="38" spans="1:101" x14ac:dyDescent="0.25">
      <c r="A38" s="319"/>
      <c r="B38" s="152">
        <f>IF(B37+TIME(1,0,0)=1,TIME(0,0,0),IF(B37+TIME(1,0,0)&gt;1,B37+TIME(1,0,0)-1,B37+TIME(1,0,0)))</f>
        <v>4.1666666666666664E-2</v>
      </c>
      <c r="C38" s="429" t="e">
        <f t="shared" si="66"/>
        <v>#N/A</v>
      </c>
      <c r="D38" s="550" t="str">
        <f t="shared" ref="D38:D60" si="108">IF(TimeEnd2="All Day","YES",IF((ABS(TimeEnd2-B38)&lt;0.0000000001),"no",IF(D37="YES","YES","no")))</f>
        <v>YES</v>
      </c>
      <c r="E38" s="178" t="e">
        <f t="shared" ref="E38:E60" si="109">K38+Q38+W38+AC38</f>
        <v>#N/A</v>
      </c>
      <c r="F38" s="162" t="e">
        <f t="shared" ref="F38:F60" si="110">L38+R38+X38+AD38</f>
        <v>#N/A</v>
      </c>
      <c r="G38" s="162" t="e">
        <f t="shared" ref="G38:G60" si="111">M38+S38+Y38+AE38</f>
        <v>#N/A</v>
      </c>
      <c r="H38" s="162" t="e">
        <f t="shared" ref="H38:H60" si="112">N38+T38+Z38+AF38</f>
        <v>#N/A</v>
      </c>
      <c r="I38" s="162" t="e">
        <f t="shared" ref="I38:I60" si="113">O38+U38+AA38+AG38</f>
        <v>#N/A</v>
      </c>
      <c r="J38" s="112" t="e">
        <f t="shared" ref="J38:J60" si="114">P38+V38+AB38+AH38</f>
        <v>#N/A</v>
      </c>
      <c r="K38" s="160" t="e">
        <f t="shared" ref="K38:K60" si="115">SUM(L38:O38)</f>
        <v>#N/A</v>
      </c>
      <c r="L38" s="162" t="e">
        <f t="shared" si="68"/>
        <v>#N/A</v>
      </c>
      <c r="M38" s="162" t="e">
        <f t="shared" si="69"/>
        <v>#N/A</v>
      </c>
      <c r="N38" s="162" t="e">
        <f t="shared" si="70"/>
        <v>#N/A</v>
      </c>
      <c r="O38" s="162" t="e">
        <f t="shared" si="71"/>
        <v>#N/A</v>
      </c>
      <c r="P38" s="112" t="e">
        <f t="shared" si="72"/>
        <v>#N/A</v>
      </c>
      <c r="Q38" s="178" t="e">
        <f t="shared" ref="Q38:Q60" si="116">SUM(R38:U38)</f>
        <v>#N/A</v>
      </c>
      <c r="R38" s="162" t="e">
        <f t="shared" si="73"/>
        <v>#N/A</v>
      </c>
      <c r="S38" s="162" t="e">
        <f t="shared" si="74"/>
        <v>#N/A</v>
      </c>
      <c r="T38" s="162" t="e">
        <f t="shared" si="75"/>
        <v>#N/A</v>
      </c>
      <c r="U38" s="162" t="e">
        <f t="shared" si="76"/>
        <v>#N/A</v>
      </c>
      <c r="V38" s="112" t="e">
        <f t="shared" si="77"/>
        <v>#N/A</v>
      </c>
      <c r="W38" s="178" t="e">
        <f t="shared" ref="W38:W60" si="117">SUM(X38:AA38)</f>
        <v>#N/A</v>
      </c>
      <c r="X38" s="162" t="e">
        <f t="shared" si="78"/>
        <v>#N/A</v>
      </c>
      <c r="Y38" s="162" t="e">
        <f t="shared" si="79"/>
        <v>#N/A</v>
      </c>
      <c r="Z38" s="162" t="e">
        <f t="shared" si="80"/>
        <v>#N/A</v>
      </c>
      <c r="AA38" s="162" t="e">
        <f t="shared" si="81"/>
        <v>#N/A</v>
      </c>
      <c r="AB38" s="112" t="e">
        <f t="shared" si="82"/>
        <v>#N/A</v>
      </c>
      <c r="AC38" s="178" t="e">
        <f t="shared" ref="AC38:AC60" si="118">SUM(AD38:AG38)</f>
        <v>#N/A</v>
      </c>
      <c r="AD38" s="162" t="e">
        <f t="shared" si="83"/>
        <v>#N/A</v>
      </c>
      <c r="AE38" s="162" t="e">
        <f t="shared" si="84"/>
        <v>#N/A</v>
      </c>
      <c r="AF38" s="162" t="e">
        <f t="shared" si="85"/>
        <v>#N/A</v>
      </c>
      <c r="AG38" s="162" t="e">
        <f t="shared" si="86"/>
        <v>#N/A</v>
      </c>
      <c r="AH38" s="162" t="e">
        <f t="shared" si="87"/>
        <v>#N/A</v>
      </c>
      <c r="AI38" s="35"/>
      <c r="AJ38" s="166" t="s">
        <v>270</v>
      </c>
      <c r="AK38" s="166" t="s">
        <v>270</v>
      </c>
      <c r="AL38" s="166" t="s">
        <v>270</v>
      </c>
      <c r="AM38" s="166" t="s">
        <v>270</v>
      </c>
      <c r="AN38" s="166" t="s">
        <v>270</v>
      </c>
      <c r="AO38" s="166" t="s">
        <v>270</v>
      </c>
      <c r="AP38" s="208" t="s">
        <v>270</v>
      </c>
      <c r="AQ38" s="162" t="e">
        <f t="shared" si="88"/>
        <v>#N/A</v>
      </c>
      <c r="AR38" s="162" t="e">
        <f t="shared" ref="AR38:AU60" si="119">IF(RANK($C38,$C$37:$C$60)&gt;ABS(AR$61),0,(AR$61/ABS(AR$61)))</f>
        <v>#N/A</v>
      </c>
      <c r="AS38" s="162" t="e">
        <f t="shared" si="119"/>
        <v>#N/A</v>
      </c>
      <c r="AT38" s="162" t="e">
        <f t="shared" si="119"/>
        <v>#N/A</v>
      </c>
      <c r="AU38" s="162" t="e">
        <f t="shared" si="119"/>
        <v>#N/A</v>
      </c>
      <c r="AV38" s="208" t="s">
        <v>270</v>
      </c>
      <c r="AW38" s="162" t="e">
        <f t="shared" si="90"/>
        <v>#N/A</v>
      </c>
      <c r="AX38" s="162" t="e">
        <f t="shared" ref="AX38:BA60" si="120">IF(RANK($C38,$C$37:$C$60)&gt;ABS(AX$61),0,(AX$61/ABS(AX$61)))</f>
        <v>#N/A</v>
      </c>
      <c r="AY38" s="162" t="e">
        <f t="shared" si="120"/>
        <v>#N/A</v>
      </c>
      <c r="AZ38" s="162" t="e">
        <f t="shared" si="120"/>
        <v>#N/A</v>
      </c>
      <c r="BA38" s="162" t="e">
        <f t="shared" si="120"/>
        <v>#N/A</v>
      </c>
      <c r="BB38" s="208" t="s">
        <v>270</v>
      </c>
      <c r="BC38" s="162" t="e">
        <f>IF(RANK($C38,$C$37:$C$60)&gt;ABS(BC$61),0,(BC$61/ABS(BC$61)))</f>
        <v>#N/A</v>
      </c>
      <c r="BD38" s="162" t="e">
        <f>IF(RANK($C38,$C$37:$C$60)&gt;ABS(BD$61),0,(BD$61/ABS(BD$61)))</f>
        <v>#N/A</v>
      </c>
      <c r="BE38" s="162" t="e">
        <f>IF(RANK($C38,$C$37:$C$60)&gt;ABS(BE$61),0,(BE$61/ABS(BE$61)))</f>
        <v>#N/A</v>
      </c>
      <c r="BF38" s="162" t="e">
        <f>IF(RANK($C38,$C$37:$C$60)&gt;ABS(BF$61),0,(BF$61/ABS(BF$61)))</f>
        <v>#N/A</v>
      </c>
      <c r="BG38" s="162" t="e">
        <f t="shared" si="92"/>
        <v>#N/A</v>
      </c>
      <c r="BH38" s="208" t="s">
        <v>270</v>
      </c>
      <c r="BI38" s="162" t="e">
        <f t="shared" ref="BI38:BM60" si="121">IF(RANK($C38,$C$37:$C$60)&gt;ABS(BI$61),0,(BI$61/ABS(BI$61)))</f>
        <v>#N/A</v>
      </c>
      <c r="BJ38" s="162" t="e">
        <f t="shared" si="121"/>
        <v>#N/A</v>
      </c>
      <c r="BK38" s="162" t="e">
        <f t="shared" si="121"/>
        <v>#N/A</v>
      </c>
      <c r="BL38" s="162" t="e">
        <f t="shared" si="121"/>
        <v>#N/A</v>
      </c>
      <c r="BM38" s="162" t="e">
        <f t="shared" si="121"/>
        <v>#N/A</v>
      </c>
      <c r="BO38" s="162" t="e">
        <f t="shared" ref="BO38:BO60" si="122">BU38+CA38+CG38+CM38</f>
        <v>#N/A</v>
      </c>
      <c r="BP38" s="162" t="e">
        <f t="shared" ref="BP38:BP60" si="123">BV38+CB38+CH38+CN38</f>
        <v>#N/A</v>
      </c>
      <c r="BQ38" s="162" t="e">
        <f t="shared" ref="BQ38:BQ60" si="124">BW38+CC38+CI38+CO38</f>
        <v>#N/A</v>
      </c>
      <c r="BR38" s="162" t="e">
        <f t="shared" ref="BR38:BR60" si="125">BX38+CD38+CJ38+CP38</f>
        <v>#N/A</v>
      </c>
      <c r="BS38" s="162" t="e">
        <f t="shared" ref="BS38:BS60" si="126">BY38+CE38+CK38+CQ38</f>
        <v>#N/A</v>
      </c>
      <c r="BT38" s="112" t="e">
        <f t="shared" ref="BT38:BT60" si="127">BZ38+CF38+CL38+CR38</f>
        <v>#N/A</v>
      </c>
      <c r="BU38" s="178" t="e">
        <f t="shared" ref="BU38:BU60" si="128">SUM(BV38:BY38)</f>
        <v>#N/A</v>
      </c>
      <c r="BV38" s="488" t="e">
        <f t="shared" ref="BV38:BV60" si="129">L38+AQ38</f>
        <v>#N/A</v>
      </c>
      <c r="BW38" s="488" t="e">
        <f t="shared" si="95"/>
        <v>#N/A</v>
      </c>
      <c r="BX38" s="488" t="e">
        <f t="shared" si="95"/>
        <v>#N/A</v>
      </c>
      <c r="BY38" s="488" t="e">
        <f t="shared" si="95"/>
        <v>#N/A</v>
      </c>
      <c r="BZ38" s="488" t="e">
        <f t="shared" si="95"/>
        <v>#N/A</v>
      </c>
      <c r="CA38" s="178" t="e">
        <f t="shared" ref="CA38:CA60" si="130">SUM(CB38:CE38)</f>
        <v>#N/A</v>
      </c>
      <c r="CB38" s="488" t="e">
        <f t="shared" ref="CB38:CB60" si="131">R38+AW38</f>
        <v>#N/A</v>
      </c>
      <c r="CC38" s="488" t="e">
        <f t="shared" si="96"/>
        <v>#N/A</v>
      </c>
      <c r="CD38" s="488" t="e">
        <f t="shared" si="97"/>
        <v>#N/A</v>
      </c>
      <c r="CE38" s="488" t="e">
        <f t="shared" si="98"/>
        <v>#N/A</v>
      </c>
      <c r="CF38" s="488" t="e">
        <f t="shared" si="99"/>
        <v>#N/A</v>
      </c>
      <c r="CG38" s="178" t="e">
        <f t="shared" ref="CG38:CG60" si="132">SUM(CH38:CK38)</f>
        <v>#N/A</v>
      </c>
      <c r="CH38" s="488" t="e">
        <f t="shared" ref="CH38:CH60" si="133">X38+BC38</f>
        <v>#N/A</v>
      </c>
      <c r="CI38" s="488" t="e">
        <f t="shared" si="100"/>
        <v>#N/A</v>
      </c>
      <c r="CJ38" s="488" t="e">
        <f t="shared" si="101"/>
        <v>#N/A</v>
      </c>
      <c r="CK38" s="488" t="e">
        <f t="shared" si="102"/>
        <v>#N/A</v>
      </c>
      <c r="CL38" s="488" t="e">
        <f t="shared" si="103"/>
        <v>#N/A</v>
      </c>
      <c r="CM38" s="178" t="e">
        <f t="shared" ref="CM38:CM60" si="134">SUM(CN38:CQ38)</f>
        <v>#N/A</v>
      </c>
      <c r="CN38" s="488" t="e">
        <f t="shared" ref="CN38:CN60" si="135">AD38+BI38</f>
        <v>#N/A</v>
      </c>
      <c r="CO38" s="488" t="e">
        <f t="shared" si="104"/>
        <v>#N/A</v>
      </c>
      <c r="CP38" s="488" t="e">
        <f t="shared" si="105"/>
        <v>#N/A</v>
      </c>
      <c r="CQ38" s="488" t="e">
        <f t="shared" si="106"/>
        <v>#N/A</v>
      </c>
      <c r="CR38" s="488" t="e">
        <f t="shared" si="107"/>
        <v>#N/A</v>
      </c>
      <c r="CS38" s="35"/>
      <c r="CT38" s="35"/>
      <c r="CU38" s="35"/>
      <c r="CV38" s="35"/>
      <c r="CW38" s="35"/>
    </row>
    <row r="39" spans="1:101" x14ac:dyDescent="0.25">
      <c r="A39" s="319"/>
      <c r="B39" s="152">
        <f t="shared" ref="B39:B60" si="136">IF(B38+TIME(1,0,0)=1,TIME(0,0,0),IF(B38+TIME(1,0,0)&gt;1,B38+TIME(1,0,0)-1,B38+TIME(1,0,0)))</f>
        <v>8.3333333333333329E-2</v>
      </c>
      <c r="C39" s="429" t="e">
        <f t="shared" si="66"/>
        <v>#N/A</v>
      </c>
      <c r="D39" s="550" t="str">
        <f t="shared" si="108"/>
        <v>YES</v>
      </c>
      <c r="E39" s="178" t="e">
        <f t="shared" si="109"/>
        <v>#N/A</v>
      </c>
      <c r="F39" s="162" t="e">
        <f t="shared" si="110"/>
        <v>#N/A</v>
      </c>
      <c r="G39" s="162" t="e">
        <f t="shared" si="111"/>
        <v>#N/A</v>
      </c>
      <c r="H39" s="162" t="e">
        <f t="shared" si="112"/>
        <v>#N/A</v>
      </c>
      <c r="I39" s="162" t="e">
        <f t="shared" si="113"/>
        <v>#N/A</v>
      </c>
      <c r="J39" s="112" t="e">
        <f t="shared" si="114"/>
        <v>#N/A</v>
      </c>
      <c r="K39" s="160" t="e">
        <f t="shared" si="115"/>
        <v>#N/A</v>
      </c>
      <c r="L39" s="162" t="e">
        <f t="shared" si="68"/>
        <v>#N/A</v>
      </c>
      <c r="M39" s="162" t="e">
        <f t="shared" si="69"/>
        <v>#N/A</v>
      </c>
      <c r="N39" s="162" t="e">
        <f t="shared" si="70"/>
        <v>#N/A</v>
      </c>
      <c r="O39" s="162" t="e">
        <f t="shared" si="71"/>
        <v>#N/A</v>
      </c>
      <c r="P39" s="112" t="e">
        <f t="shared" si="72"/>
        <v>#N/A</v>
      </c>
      <c r="Q39" s="178" t="e">
        <f t="shared" si="116"/>
        <v>#N/A</v>
      </c>
      <c r="R39" s="162" t="e">
        <f t="shared" si="73"/>
        <v>#N/A</v>
      </c>
      <c r="S39" s="162" t="e">
        <f t="shared" si="74"/>
        <v>#N/A</v>
      </c>
      <c r="T39" s="162" t="e">
        <f t="shared" si="75"/>
        <v>#N/A</v>
      </c>
      <c r="U39" s="162" t="e">
        <f t="shared" si="76"/>
        <v>#N/A</v>
      </c>
      <c r="V39" s="112" t="e">
        <f t="shared" si="77"/>
        <v>#N/A</v>
      </c>
      <c r="W39" s="178" t="e">
        <f t="shared" si="117"/>
        <v>#N/A</v>
      </c>
      <c r="X39" s="162" t="e">
        <f t="shared" si="78"/>
        <v>#N/A</v>
      </c>
      <c r="Y39" s="162" t="e">
        <f t="shared" si="79"/>
        <v>#N/A</v>
      </c>
      <c r="Z39" s="162" t="e">
        <f t="shared" si="80"/>
        <v>#N/A</v>
      </c>
      <c r="AA39" s="162" t="e">
        <f t="shared" si="81"/>
        <v>#N/A</v>
      </c>
      <c r="AB39" s="112" t="e">
        <f t="shared" si="82"/>
        <v>#N/A</v>
      </c>
      <c r="AC39" s="178" t="e">
        <f t="shared" si="118"/>
        <v>#N/A</v>
      </c>
      <c r="AD39" s="162" t="e">
        <f t="shared" si="83"/>
        <v>#N/A</v>
      </c>
      <c r="AE39" s="162" t="e">
        <f t="shared" si="84"/>
        <v>#N/A</v>
      </c>
      <c r="AF39" s="162" t="e">
        <f t="shared" si="85"/>
        <v>#N/A</v>
      </c>
      <c r="AG39" s="162" t="e">
        <f t="shared" si="86"/>
        <v>#N/A</v>
      </c>
      <c r="AH39" s="162" t="e">
        <f t="shared" si="87"/>
        <v>#N/A</v>
      </c>
      <c r="AI39" s="35"/>
      <c r="AJ39" s="166" t="s">
        <v>270</v>
      </c>
      <c r="AK39" s="166" t="s">
        <v>270</v>
      </c>
      <c r="AL39" s="166" t="s">
        <v>270</v>
      </c>
      <c r="AM39" s="166" t="s">
        <v>270</v>
      </c>
      <c r="AN39" s="166" t="s">
        <v>270</v>
      </c>
      <c r="AO39" s="166" t="s">
        <v>270</v>
      </c>
      <c r="AP39" s="208" t="s">
        <v>270</v>
      </c>
      <c r="AQ39" s="162" t="e">
        <f t="shared" si="88"/>
        <v>#N/A</v>
      </c>
      <c r="AR39" s="162" t="e">
        <f t="shared" si="119"/>
        <v>#N/A</v>
      </c>
      <c r="AS39" s="162" t="e">
        <f t="shared" si="119"/>
        <v>#N/A</v>
      </c>
      <c r="AT39" s="162" t="e">
        <f t="shared" si="119"/>
        <v>#N/A</v>
      </c>
      <c r="AU39" s="162" t="e">
        <f t="shared" si="119"/>
        <v>#N/A</v>
      </c>
      <c r="AV39" s="208" t="s">
        <v>270</v>
      </c>
      <c r="AW39" s="162" t="e">
        <f t="shared" si="90"/>
        <v>#N/A</v>
      </c>
      <c r="AX39" s="162" t="e">
        <f t="shared" si="120"/>
        <v>#N/A</v>
      </c>
      <c r="AY39" s="162" t="e">
        <f t="shared" si="120"/>
        <v>#N/A</v>
      </c>
      <c r="AZ39" s="162" t="e">
        <f t="shared" si="120"/>
        <v>#N/A</v>
      </c>
      <c r="BA39" s="162" t="e">
        <f t="shared" si="120"/>
        <v>#N/A</v>
      </c>
      <c r="BB39" s="208" t="s">
        <v>270</v>
      </c>
      <c r="BC39" s="162" t="e">
        <f t="shared" si="92"/>
        <v>#N/A</v>
      </c>
      <c r="BD39" s="162" t="e">
        <f t="shared" si="92"/>
        <v>#N/A</v>
      </c>
      <c r="BE39" s="162" t="e">
        <f t="shared" si="92"/>
        <v>#N/A</v>
      </c>
      <c r="BF39" s="162" t="e">
        <f t="shared" si="92"/>
        <v>#N/A</v>
      </c>
      <c r="BG39" s="162" t="e">
        <f t="shared" si="92"/>
        <v>#N/A</v>
      </c>
      <c r="BH39" s="208" t="s">
        <v>270</v>
      </c>
      <c r="BI39" s="162" t="e">
        <f t="shared" si="121"/>
        <v>#N/A</v>
      </c>
      <c r="BJ39" s="162" t="e">
        <f t="shared" si="121"/>
        <v>#N/A</v>
      </c>
      <c r="BK39" s="162" t="e">
        <f t="shared" si="121"/>
        <v>#N/A</v>
      </c>
      <c r="BL39" s="162" t="e">
        <f t="shared" si="121"/>
        <v>#N/A</v>
      </c>
      <c r="BM39" s="162" t="e">
        <f t="shared" si="121"/>
        <v>#N/A</v>
      </c>
      <c r="BO39" s="162" t="e">
        <f t="shared" si="122"/>
        <v>#N/A</v>
      </c>
      <c r="BP39" s="162" t="e">
        <f t="shared" si="123"/>
        <v>#N/A</v>
      </c>
      <c r="BQ39" s="162" t="e">
        <f t="shared" si="124"/>
        <v>#N/A</v>
      </c>
      <c r="BR39" s="162" t="e">
        <f t="shared" si="125"/>
        <v>#N/A</v>
      </c>
      <c r="BS39" s="162" t="e">
        <f t="shared" si="126"/>
        <v>#N/A</v>
      </c>
      <c r="BT39" s="112" t="e">
        <f t="shared" si="127"/>
        <v>#N/A</v>
      </c>
      <c r="BU39" s="178" t="e">
        <f t="shared" si="128"/>
        <v>#N/A</v>
      </c>
      <c r="BV39" s="488" t="e">
        <f t="shared" si="129"/>
        <v>#N/A</v>
      </c>
      <c r="BW39" s="488" t="e">
        <f t="shared" si="95"/>
        <v>#N/A</v>
      </c>
      <c r="BX39" s="488" t="e">
        <f t="shared" si="95"/>
        <v>#N/A</v>
      </c>
      <c r="BY39" s="488" t="e">
        <f t="shared" si="95"/>
        <v>#N/A</v>
      </c>
      <c r="BZ39" s="488" t="e">
        <f t="shared" si="95"/>
        <v>#N/A</v>
      </c>
      <c r="CA39" s="178" t="e">
        <f t="shared" si="130"/>
        <v>#N/A</v>
      </c>
      <c r="CB39" s="488" t="e">
        <f t="shared" si="131"/>
        <v>#N/A</v>
      </c>
      <c r="CC39" s="488" t="e">
        <f t="shared" si="96"/>
        <v>#N/A</v>
      </c>
      <c r="CD39" s="488" t="e">
        <f t="shared" si="97"/>
        <v>#N/A</v>
      </c>
      <c r="CE39" s="488" t="e">
        <f t="shared" si="98"/>
        <v>#N/A</v>
      </c>
      <c r="CF39" s="488" t="e">
        <f t="shared" si="99"/>
        <v>#N/A</v>
      </c>
      <c r="CG39" s="178" t="e">
        <f t="shared" si="132"/>
        <v>#N/A</v>
      </c>
      <c r="CH39" s="488" t="e">
        <f t="shared" si="133"/>
        <v>#N/A</v>
      </c>
      <c r="CI39" s="488" t="e">
        <f t="shared" si="100"/>
        <v>#N/A</v>
      </c>
      <c r="CJ39" s="488" t="e">
        <f t="shared" si="101"/>
        <v>#N/A</v>
      </c>
      <c r="CK39" s="488" t="e">
        <f t="shared" si="102"/>
        <v>#N/A</v>
      </c>
      <c r="CL39" s="488" t="e">
        <f t="shared" si="103"/>
        <v>#N/A</v>
      </c>
      <c r="CM39" s="178" t="e">
        <f t="shared" si="134"/>
        <v>#N/A</v>
      </c>
      <c r="CN39" s="488" t="e">
        <f t="shared" si="135"/>
        <v>#N/A</v>
      </c>
      <c r="CO39" s="488" t="e">
        <f t="shared" si="104"/>
        <v>#N/A</v>
      </c>
      <c r="CP39" s="488" t="e">
        <f t="shared" si="105"/>
        <v>#N/A</v>
      </c>
      <c r="CQ39" s="488" t="e">
        <f t="shared" si="106"/>
        <v>#N/A</v>
      </c>
      <c r="CR39" s="488" t="e">
        <f t="shared" si="107"/>
        <v>#N/A</v>
      </c>
      <c r="CS39" s="35"/>
      <c r="CT39" s="35"/>
      <c r="CU39" s="35"/>
      <c r="CV39" s="35"/>
      <c r="CW39" s="35"/>
    </row>
    <row r="40" spans="1:101" x14ac:dyDescent="0.25">
      <c r="A40" s="319"/>
      <c r="B40" s="152">
        <f t="shared" si="136"/>
        <v>0.125</v>
      </c>
      <c r="C40" s="429" t="e">
        <f t="shared" si="66"/>
        <v>#N/A</v>
      </c>
      <c r="D40" s="550" t="str">
        <f t="shared" si="108"/>
        <v>YES</v>
      </c>
      <c r="E40" s="178" t="e">
        <f t="shared" si="109"/>
        <v>#N/A</v>
      </c>
      <c r="F40" s="162" t="e">
        <f t="shared" si="110"/>
        <v>#N/A</v>
      </c>
      <c r="G40" s="162" t="e">
        <f t="shared" si="111"/>
        <v>#N/A</v>
      </c>
      <c r="H40" s="162" t="e">
        <f t="shared" si="112"/>
        <v>#N/A</v>
      </c>
      <c r="I40" s="162" t="e">
        <f t="shared" si="113"/>
        <v>#N/A</v>
      </c>
      <c r="J40" s="112" t="e">
        <f t="shared" si="114"/>
        <v>#N/A</v>
      </c>
      <c r="K40" s="160" t="e">
        <f t="shared" si="115"/>
        <v>#N/A</v>
      </c>
      <c r="L40" s="162" t="e">
        <f t="shared" si="68"/>
        <v>#N/A</v>
      </c>
      <c r="M40" s="162" t="e">
        <f t="shared" si="69"/>
        <v>#N/A</v>
      </c>
      <c r="N40" s="162" t="e">
        <f t="shared" si="70"/>
        <v>#N/A</v>
      </c>
      <c r="O40" s="162" t="e">
        <f t="shared" si="71"/>
        <v>#N/A</v>
      </c>
      <c r="P40" s="112" t="e">
        <f t="shared" si="72"/>
        <v>#N/A</v>
      </c>
      <c r="Q40" s="178" t="e">
        <f t="shared" si="116"/>
        <v>#N/A</v>
      </c>
      <c r="R40" s="162" t="e">
        <f t="shared" si="73"/>
        <v>#N/A</v>
      </c>
      <c r="S40" s="162" t="e">
        <f t="shared" si="74"/>
        <v>#N/A</v>
      </c>
      <c r="T40" s="162" t="e">
        <f t="shared" si="75"/>
        <v>#N/A</v>
      </c>
      <c r="U40" s="162" t="e">
        <f t="shared" si="76"/>
        <v>#N/A</v>
      </c>
      <c r="V40" s="112" t="e">
        <f t="shared" si="77"/>
        <v>#N/A</v>
      </c>
      <c r="W40" s="178" t="e">
        <f t="shared" si="117"/>
        <v>#N/A</v>
      </c>
      <c r="X40" s="162" t="e">
        <f t="shared" si="78"/>
        <v>#N/A</v>
      </c>
      <c r="Y40" s="162" t="e">
        <f t="shared" si="79"/>
        <v>#N/A</v>
      </c>
      <c r="Z40" s="162" t="e">
        <f t="shared" si="80"/>
        <v>#N/A</v>
      </c>
      <c r="AA40" s="162" t="e">
        <f t="shared" si="81"/>
        <v>#N/A</v>
      </c>
      <c r="AB40" s="112" t="e">
        <f t="shared" si="82"/>
        <v>#N/A</v>
      </c>
      <c r="AC40" s="178" t="e">
        <f t="shared" si="118"/>
        <v>#N/A</v>
      </c>
      <c r="AD40" s="162" t="e">
        <f t="shared" si="83"/>
        <v>#N/A</v>
      </c>
      <c r="AE40" s="162" t="e">
        <f t="shared" si="84"/>
        <v>#N/A</v>
      </c>
      <c r="AF40" s="162" t="e">
        <f t="shared" si="85"/>
        <v>#N/A</v>
      </c>
      <c r="AG40" s="162" t="e">
        <f t="shared" si="86"/>
        <v>#N/A</v>
      </c>
      <c r="AH40" s="162" t="e">
        <f t="shared" si="87"/>
        <v>#N/A</v>
      </c>
      <c r="AI40" s="35"/>
      <c r="AJ40" s="166" t="s">
        <v>270</v>
      </c>
      <c r="AK40" s="166" t="s">
        <v>270</v>
      </c>
      <c r="AL40" s="166" t="s">
        <v>270</v>
      </c>
      <c r="AM40" s="166" t="s">
        <v>270</v>
      </c>
      <c r="AN40" s="166" t="s">
        <v>270</v>
      </c>
      <c r="AO40" s="166" t="s">
        <v>270</v>
      </c>
      <c r="AP40" s="208" t="s">
        <v>270</v>
      </c>
      <c r="AQ40" s="162" t="e">
        <f t="shared" si="88"/>
        <v>#N/A</v>
      </c>
      <c r="AR40" s="162" t="e">
        <f t="shared" si="119"/>
        <v>#N/A</v>
      </c>
      <c r="AS40" s="162" t="e">
        <f t="shared" si="119"/>
        <v>#N/A</v>
      </c>
      <c r="AT40" s="162" t="e">
        <f t="shared" si="119"/>
        <v>#N/A</v>
      </c>
      <c r="AU40" s="162" t="e">
        <f t="shared" si="119"/>
        <v>#N/A</v>
      </c>
      <c r="AV40" s="208" t="s">
        <v>270</v>
      </c>
      <c r="AW40" s="162" t="e">
        <f t="shared" si="90"/>
        <v>#N/A</v>
      </c>
      <c r="AX40" s="162" t="e">
        <f t="shared" si="120"/>
        <v>#N/A</v>
      </c>
      <c r="AY40" s="162" t="e">
        <f t="shared" si="120"/>
        <v>#N/A</v>
      </c>
      <c r="AZ40" s="162" t="e">
        <f t="shared" si="120"/>
        <v>#N/A</v>
      </c>
      <c r="BA40" s="162" t="e">
        <f t="shared" si="120"/>
        <v>#N/A</v>
      </c>
      <c r="BB40" s="208" t="s">
        <v>270</v>
      </c>
      <c r="BC40" s="162" t="e">
        <f t="shared" si="92"/>
        <v>#N/A</v>
      </c>
      <c r="BD40" s="162" t="e">
        <f t="shared" si="92"/>
        <v>#N/A</v>
      </c>
      <c r="BE40" s="162" t="e">
        <f t="shared" si="92"/>
        <v>#N/A</v>
      </c>
      <c r="BF40" s="162" t="e">
        <f t="shared" si="92"/>
        <v>#N/A</v>
      </c>
      <c r="BG40" s="162" t="e">
        <f t="shared" si="92"/>
        <v>#N/A</v>
      </c>
      <c r="BH40" s="208" t="s">
        <v>270</v>
      </c>
      <c r="BI40" s="162" t="e">
        <f t="shared" si="121"/>
        <v>#N/A</v>
      </c>
      <c r="BJ40" s="162" t="e">
        <f t="shared" si="121"/>
        <v>#N/A</v>
      </c>
      <c r="BK40" s="162" t="e">
        <f t="shared" si="121"/>
        <v>#N/A</v>
      </c>
      <c r="BL40" s="162" t="e">
        <f t="shared" si="121"/>
        <v>#N/A</v>
      </c>
      <c r="BM40" s="162" t="e">
        <f t="shared" si="121"/>
        <v>#N/A</v>
      </c>
      <c r="BO40" s="162" t="e">
        <f t="shared" si="122"/>
        <v>#N/A</v>
      </c>
      <c r="BP40" s="162" t="e">
        <f t="shared" si="123"/>
        <v>#N/A</v>
      </c>
      <c r="BQ40" s="162" t="e">
        <f t="shared" si="124"/>
        <v>#N/A</v>
      </c>
      <c r="BR40" s="162" t="e">
        <f t="shared" si="125"/>
        <v>#N/A</v>
      </c>
      <c r="BS40" s="162" t="e">
        <f t="shared" si="126"/>
        <v>#N/A</v>
      </c>
      <c r="BT40" s="112" t="e">
        <f t="shared" si="127"/>
        <v>#N/A</v>
      </c>
      <c r="BU40" s="178" t="e">
        <f t="shared" si="128"/>
        <v>#N/A</v>
      </c>
      <c r="BV40" s="488" t="e">
        <f t="shared" si="129"/>
        <v>#N/A</v>
      </c>
      <c r="BW40" s="488" t="e">
        <f t="shared" si="95"/>
        <v>#N/A</v>
      </c>
      <c r="BX40" s="488" t="e">
        <f t="shared" si="95"/>
        <v>#N/A</v>
      </c>
      <c r="BY40" s="488" t="e">
        <f t="shared" si="95"/>
        <v>#N/A</v>
      </c>
      <c r="BZ40" s="488" t="e">
        <f t="shared" si="95"/>
        <v>#N/A</v>
      </c>
      <c r="CA40" s="178" t="e">
        <f t="shared" si="130"/>
        <v>#N/A</v>
      </c>
      <c r="CB40" s="488" t="e">
        <f t="shared" si="131"/>
        <v>#N/A</v>
      </c>
      <c r="CC40" s="488" t="e">
        <f t="shared" si="96"/>
        <v>#N/A</v>
      </c>
      <c r="CD40" s="488" t="e">
        <f t="shared" si="97"/>
        <v>#N/A</v>
      </c>
      <c r="CE40" s="488" t="e">
        <f t="shared" si="98"/>
        <v>#N/A</v>
      </c>
      <c r="CF40" s="488" t="e">
        <f t="shared" si="99"/>
        <v>#N/A</v>
      </c>
      <c r="CG40" s="178" t="e">
        <f t="shared" si="132"/>
        <v>#N/A</v>
      </c>
      <c r="CH40" s="488" t="e">
        <f t="shared" si="133"/>
        <v>#N/A</v>
      </c>
      <c r="CI40" s="488" t="e">
        <f t="shared" si="100"/>
        <v>#N/A</v>
      </c>
      <c r="CJ40" s="488" t="e">
        <f t="shared" si="101"/>
        <v>#N/A</v>
      </c>
      <c r="CK40" s="488" t="e">
        <f t="shared" si="102"/>
        <v>#N/A</v>
      </c>
      <c r="CL40" s="488" t="e">
        <f t="shared" si="103"/>
        <v>#N/A</v>
      </c>
      <c r="CM40" s="178" t="e">
        <f t="shared" si="134"/>
        <v>#N/A</v>
      </c>
      <c r="CN40" s="488" t="e">
        <f t="shared" si="135"/>
        <v>#N/A</v>
      </c>
      <c r="CO40" s="488" t="e">
        <f t="shared" si="104"/>
        <v>#N/A</v>
      </c>
      <c r="CP40" s="488" t="e">
        <f t="shared" si="105"/>
        <v>#N/A</v>
      </c>
      <c r="CQ40" s="488" t="e">
        <f t="shared" si="106"/>
        <v>#N/A</v>
      </c>
      <c r="CR40" s="488" t="e">
        <f t="shared" si="107"/>
        <v>#N/A</v>
      </c>
      <c r="CS40" s="35"/>
      <c r="CT40" s="35"/>
      <c r="CU40" s="35"/>
      <c r="CV40" s="35"/>
      <c r="CW40" s="35"/>
    </row>
    <row r="41" spans="1:101" x14ac:dyDescent="0.25">
      <c r="A41" s="319"/>
      <c r="B41" s="152">
        <f t="shared" si="136"/>
        <v>0.16666666666666666</v>
      </c>
      <c r="C41" s="429" t="e">
        <f t="shared" si="66"/>
        <v>#N/A</v>
      </c>
      <c r="D41" s="550" t="str">
        <f t="shared" si="108"/>
        <v>YES</v>
      </c>
      <c r="E41" s="178" t="e">
        <f t="shared" si="109"/>
        <v>#N/A</v>
      </c>
      <c r="F41" s="162" t="e">
        <f t="shared" si="110"/>
        <v>#N/A</v>
      </c>
      <c r="G41" s="162" t="e">
        <f t="shared" si="111"/>
        <v>#N/A</v>
      </c>
      <c r="H41" s="162" t="e">
        <f t="shared" si="112"/>
        <v>#N/A</v>
      </c>
      <c r="I41" s="162" t="e">
        <f t="shared" si="113"/>
        <v>#N/A</v>
      </c>
      <c r="J41" s="112" t="e">
        <f t="shared" si="114"/>
        <v>#N/A</v>
      </c>
      <c r="K41" s="160" t="e">
        <f t="shared" si="115"/>
        <v>#N/A</v>
      </c>
      <c r="L41" s="162" t="e">
        <f t="shared" si="68"/>
        <v>#N/A</v>
      </c>
      <c r="M41" s="162" t="e">
        <f t="shared" si="69"/>
        <v>#N/A</v>
      </c>
      <c r="N41" s="162" t="e">
        <f t="shared" si="70"/>
        <v>#N/A</v>
      </c>
      <c r="O41" s="162" t="e">
        <f t="shared" si="71"/>
        <v>#N/A</v>
      </c>
      <c r="P41" s="112" t="e">
        <f t="shared" si="72"/>
        <v>#N/A</v>
      </c>
      <c r="Q41" s="178" t="e">
        <f t="shared" si="116"/>
        <v>#N/A</v>
      </c>
      <c r="R41" s="162" t="e">
        <f t="shared" si="73"/>
        <v>#N/A</v>
      </c>
      <c r="S41" s="162" t="e">
        <f t="shared" si="74"/>
        <v>#N/A</v>
      </c>
      <c r="T41" s="162" t="e">
        <f t="shared" si="75"/>
        <v>#N/A</v>
      </c>
      <c r="U41" s="162" t="e">
        <f t="shared" si="76"/>
        <v>#N/A</v>
      </c>
      <c r="V41" s="112" t="e">
        <f t="shared" si="77"/>
        <v>#N/A</v>
      </c>
      <c r="W41" s="178" t="e">
        <f t="shared" si="117"/>
        <v>#N/A</v>
      </c>
      <c r="X41" s="162" t="e">
        <f t="shared" si="78"/>
        <v>#N/A</v>
      </c>
      <c r="Y41" s="162" t="e">
        <f t="shared" si="79"/>
        <v>#N/A</v>
      </c>
      <c r="Z41" s="162" t="e">
        <f t="shared" si="80"/>
        <v>#N/A</v>
      </c>
      <c r="AA41" s="162" t="e">
        <f t="shared" si="81"/>
        <v>#N/A</v>
      </c>
      <c r="AB41" s="112" t="e">
        <f t="shared" si="82"/>
        <v>#N/A</v>
      </c>
      <c r="AC41" s="178" t="e">
        <f t="shared" si="118"/>
        <v>#N/A</v>
      </c>
      <c r="AD41" s="162" t="e">
        <f t="shared" si="83"/>
        <v>#N/A</v>
      </c>
      <c r="AE41" s="162" t="e">
        <f t="shared" si="84"/>
        <v>#N/A</v>
      </c>
      <c r="AF41" s="162" t="e">
        <f t="shared" si="85"/>
        <v>#N/A</v>
      </c>
      <c r="AG41" s="162" t="e">
        <f t="shared" si="86"/>
        <v>#N/A</v>
      </c>
      <c r="AH41" s="162" t="e">
        <f t="shared" si="87"/>
        <v>#N/A</v>
      </c>
      <c r="AI41" s="35"/>
      <c r="AJ41" s="166" t="s">
        <v>270</v>
      </c>
      <c r="AK41" s="166" t="s">
        <v>270</v>
      </c>
      <c r="AL41" s="166" t="s">
        <v>270</v>
      </c>
      <c r="AM41" s="166" t="s">
        <v>270</v>
      </c>
      <c r="AN41" s="166" t="s">
        <v>270</v>
      </c>
      <c r="AO41" s="166" t="s">
        <v>270</v>
      </c>
      <c r="AP41" s="208" t="s">
        <v>270</v>
      </c>
      <c r="AQ41" s="162" t="e">
        <f t="shared" si="88"/>
        <v>#N/A</v>
      </c>
      <c r="AR41" s="162" t="e">
        <f t="shared" si="119"/>
        <v>#N/A</v>
      </c>
      <c r="AS41" s="162" t="e">
        <f t="shared" si="119"/>
        <v>#N/A</v>
      </c>
      <c r="AT41" s="162" t="e">
        <f t="shared" si="119"/>
        <v>#N/A</v>
      </c>
      <c r="AU41" s="162" t="e">
        <f t="shared" si="119"/>
        <v>#N/A</v>
      </c>
      <c r="AV41" s="208" t="s">
        <v>270</v>
      </c>
      <c r="AW41" s="162" t="e">
        <f t="shared" si="90"/>
        <v>#N/A</v>
      </c>
      <c r="AX41" s="162" t="e">
        <f t="shared" si="120"/>
        <v>#N/A</v>
      </c>
      <c r="AY41" s="162" t="e">
        <f t="shared" si="120"/>
        <v>#N/A</v>
      </c>
      <c r="AZ41" s="162" t="e">
        <f t="shared" si="120"/>
        <v>#N/A</v>
      </c>
      <c r="BA41" s="162" t="e">
        <f t="shared" si="120"/>
        <v>#N/A</v>
      </c>
      <c r="BB41" s="208" t="s">
        <v>270</v>
      </c>
      <c r="BC41" s="162" t="e">
        <f t="shared" si="92"/>
        <v>#N/A</v>
      </c>
      <c r="BD41" s="162" t="e">
        <f t="shared" si="92"/>
        <v>#N/A</v>
      </c>
      <c r="BE41" s="162" t="e">
        <f t="shared" si="92"/>
        <v>#N/A</v>
      </c>
      <c r="BF41" s="162" t="e">
        <f t="shared" si="92"/>
        <v>#N/A</v>
      </c>
      <c r="BG41" s="162" t="e">
        <f t="shared" si="92"/>
        <v>#N/A</v>
      </c>
      <c r="BH41" s="208" t="s">
        <v>270</v>
      </c>
      <c r="BI41" s="162" t="e">
        <f t="shared" si="121"/>
        <v>#N/A</v>
      </c>
      <c r="BJ41" s="162" t="e">
        <f t="shared" si="121"/>
        <v>#N/A</v>
      </c>
      <c r="BK41" s="162" t="e">
        <f t="shared" si="121"/>
        <v>#N/A</v>
      </c>
      <c r="BL41" s="162" t="e">
        <f t="shared" si="121"/>
        <v>#N/A</v>
      </c>
      <c r="BM41" s="162" t="e">
        <f t="shared" si="121"/>
        <v>#N/A</v>
      </c>
      <c r="BO41" s="162" t="e">
        <f t="shared" si="122"/>
        <v>#N/A</v>
      </c>
      <c r="BP41" s="162" t="e">
        <f t="shared" si="123"/>
        <v>#N/A</v>
      </c>
      <c r="BQ41" s="162" t="e">
        <f t="shared" si="124"/>
        <v>#N/A</v>
      </c>
      <c r="BR41" s="162" t="e">
        <f t="shared" si="125"/>
        <v>#N/A</v>
      </c>
      <c r="BS41" s="162" t="e">
        <f t="shared" si="126"/>
        <v>#N/A</v>
      </c>
      <c r="BT41" s="112" t="e">
        <f t="shared" si="127"/>
        <v>#N/A</v>
      </c>
      <c r="BU41" s="178" t="e">
        <f t="shared" si="128"/>
        <v>#N/A</v>
      </c>
      <c r="BV41" s="488" t="e">
        <f t="shared" si="129"/>
        <v>#N/A</v>
      </c>
      <c r="BW41" s="488" t="e">
        <f t="shared" si="95"/>
        <v>#N/A</v>
      </c>
      <c r="BX41" s="488" t="e">
        <f t="shared" si="95"/>
        <v>#N/A</v>
      </c>
      <c r="BY41" s="488" t="e">
        <f t="shared" si="95"/>
        <v>#N/A</v>
      </c>
      <c r="BZ41" s="488" t="e">
        <f t="shared" si="95"/>
        <v>#N/A</v>
      </c>
      <c r="CA41" s="178" t="e">
        <f t="shared" si="130"/>
        <v>#N/A</v>
      </c>
      <c r="CB41" s="488" t="e">
        <f t="shared" si="131"/>
        <v>#N/A</v>
      </c>
      <c r="CC41" s="488" t="e">
        <f t="shared" si="96"/>
        <v>#N/A</v>
      </c>
      <c r="CD41" s="488" t="e">
        <f t="shared" si="97"/>
        <v>#N/A</v>
      </c>
      <c r="CE41" s="488" t="e">
        <f t="shared" si="98"/>
        <v>#N/A</v>
      </c>
      <c r="CF41" s="488" t="e">
        <f t="shared" si="99"/>
        <v>#N/A</v>
      </c>
      <c r="CG41" s="178" t="e">
        <f t="shared" si="132"/>
        <v>#N/A</v>
      </c>
      <c r="CH41" s="488" t="e">
        <f t="shared" si="133"/>
        <v>#N/A</v>
      </c>
      <c r="CI41" s="488" t="e">
        <f t="shared" si="100"/>
        <v>#N/A</v>
      </c>
      <c r="CJ41" s="488" t="e">
        <f t="shared" si="101"/>
        <v>#N/A</v>
      </c>
      <c r="CK41" s="488" t="e">
        <f t="shared" si="102"/>
        <v>#N/A</v>
      </c>
      <c r="CL41" s="488" t="e">
        <f t="shared" si="103"/>
        <v>#N/A</v>
      </c>
      <c r="CM41" s="178" t="e">
        <f t="shared" si="134"/>
        <v>#N/A</v>
      </c>
      <c r="CN41" s="488" t="e">
        <f t="shared" si="135"/>
        <v>#N/A</v>
      </c>
      <c r="CO41" s="488" t="e">
        <f t="shared" si="104"/>
        <v>#N/A</v>
      </c>
      <c r="CP41" s="488" t="e">
        <f t="shared" si="105"/>
        <v>#N/A</v>
      </c>
      <c r="CQ41" s="488" t="e">
        <f t="shared" si="106"/>
        <v>#N/A</v>
      </c>
      <c r="CR41" s="488" t="e">
        <f t="shared" si="107"/>
        <v>#N/A</v>
      </c>
      <c r="CS41" s="35"/>
      <c r="CT41" s="35"/>
      <c r="CU41" s="35"/>
      <c r="CV41" s="35"/>
      <c r="CW41" s="35"/>
    </row>
    <row r="42" spans="1:101" x14ac:dyDescent="0.25">
      <c r="A42" s="319"/>
      <c r="B42" s="152">
        <f t="shared" si="136"/>
        <v>0.20833333333333331</v>
      </c>
      <c r="C42" s="429" t="e">
        <f t="shared" si="66"/>
        <v>#N/A</v>
      </c>
      <c r="D42" s="550" t="str">
        <f t="shared" si="108"/>
        <v>YES</v>
      </c>
      <c r="E42" s="178" t="e">
        <f t="shared" si="109"/>
        <v>#N/A</v>
      </c>
      <c r="F42" s="162" t="e">
        <f t="shared" si="110"/>
        <v>#N/A</v>
      </c>
      <c r="G42" s="162" t="e">
        <f t="shared" si="111"/>
        <v>#N/A</v>
      </c>
      <c r="H42" s="162" t="e">
        <f t="shared" si="112"/>
        <v>#N/A</v>
      </c>
      <c r="I42" s="162" t="e">
        <f t="shared" si="113"/>
        <v>#N/A</v>
      </c>
      <c r="J42" s="112" t="e">
        <f t="shared" si="114"/>
        <v>#N/A</v>
      </c>
      <c r="K42" s="160" t="e">
        <f t="shared" si="115"/>
        <v>#N/A</v>
      </c>
      <c r="L42" s="162" t="e">
        <f t="shared" si="68"/>
        <v>#N/A</v>
      </c>
      <c r="M42" s="162" t="e">
        <f t="shared" si="69"/>
        <v>#N/A</v>
      </c>
      <c r="N42" s="162" t="e">
        <f t="shared" si="70"/>
        <v>#N/A</v>
      </c>
      <c r="O42" s="162" t="e">
        <f t="shared" si="71"/>
        <v>#N/A</v>
      </c>
      <c r="P42" s="112" t="e">
        <f t="shared" si="72"/>
        <v>#N/A</v>
      </c>
      <c r="Q42" s="178" t="e">
        <f t="shared" si="116"/>
        <v>#N/A</v>
      </c>
      <c r="R42" s="162" t="e">
        <f t="shared" si="73"/>
        <v>#N/A</v>
      </c>
      <c r="S42" s="162" t="e">
        <f t="shared" si="74"/>
        <v>#N/A</v>
      </c>
      <c r="T42" s="162" t="e">
        <f t="shared" si="75"/>
        <v>#N/A</v>
      </c>
      <c r="U42" s="162" t="e">
        <f t="shared" si="76"/>
        <v>#N/A</v>
      </c>
      <c r="V42" s="112" t="e">
        <f t="shared" si="77"/>
        <v>#N/A</v>
      </c>
      <c r="W42" s="178" t="e">
        <f t="shared" si="117"/>
        <v>#N/A</v>
      </c>
      <c r="X42" s="162" t="e">
        <f t="shared" si="78"/>
        <v>#N/A</v>
      </c>
      <c r="Y42" s="162" t="e">
        <f t="shared" si="79"/>
        <v>#N/A</v>
      </c>
      <c r="Z42" s="162" t="e">
        <f t="shared" si="80"/>
        <v>#N/A</v>
      </c>
      <c r="AA42" s="162" t="e">
        <f t="shared" si="81"/>
        <v>#N/A</v>
      </c>
      <c r="AB42" s="112" t="e">
        <f t="shared" si="82"/>
        <v>#N/A</v>
      </c>
      <c r="AC42" s="178" t="e">
        <f t="shared" si="118"/>
        <v>#N/A</v>
      </c>
      <c r="AD42" s="162" t="e">
        <f t="shared" si="83"/>
        <v>#N/A</v>
      </c>
      <c r="AE42" s="162" t="e">
        <f t="shared" si="84"/>
        <v>#N/A</v>
      </c>
      <c r="AF42" s="162" t="e">
        <f t="shared" si="85"/>
        <v>#N/A</v>
      </c>
      <c r="AG42" s="162" t="e">
        <f t="shared" si="86"/>
        <v>#N/A</v>
      </c>
      <c r="AH42" s="162" t="e">
        <f t="shared" si="87"/>
        <v>#N/A</v>
      </c>
      <c r="AI42" s="35"/>
      <c r="AJ42" s="166" t="s">
        <v>270</v>
      </c>
      <c r="AK42" s="166" t="s">
        <v>270</v>
      </c>
      <c r="AL42" s="166" t="s">
        <v>270</v>
      </c>
      <c r="AM42" s="166" t="s">
        <v>270</v>
      </c>
      <c r="AN42" s="166" t="s">
        <v>270</v>
      </c>
      <c r="AO42" s="166" t="s">
        <v>270</v>
      </c>
      <c r="AP42" s="208" t="s">
        <v>270</v>
      </c>
      <c r="AQ42" s="162" t="e">
        <f t="shared" si="88"/>
        <v>#N/A</v>
      </c>
      <c r="AR42" s="162" t="e">
        <f t="shared" si="119"/>
        <v>#N/A</v>
      </c>
      <c r="AS42" s="162" t="e">
        <f t="shared" si="119"/>
        <v>#N/A</v>
      </c>
      <c r="AT42" s="162" t="e">
        <f t="shared" si="119"/>
        <v>#N/A</v>
      </c>
      <c r="AU42" s="162" t="e">
        <f t="shared" si="119"/>
        <v>#N/A</v>
      </c>
      <c r="AV42" s="208" t="s">
        <v>270</v>
      </c>
      <c r="AW42" s="162" t="e">
        <f t="shared" si="90"/>
        <v>#N/A</v>
      </c>
      <c r="AX42" s="162" t="e">
        <f t="shared" si="120"/>
        <v>#N/A</v>
      </c>
      <c r="AY42" s="162" t="e">
        <f t="shared" si="120"/>
        <v>#N/A</v>
      </c>
      <c r="AZ42" s="162" t="e">
        <f t="shared" si="120"/>
        <v>#N/A</v>
      </c>
      <c r="BA42" s="162" t="e">
        <f t="shared" si="120"/>
        <v>#N/A</v>
      </c>
      <c r="BB42" s="208" t="s">
        <v>270</v>
      </c>
      <c r="BC42" s="162" t="e">
        <f t="shared" si="92"/>
        <v>#N/A</v>
      </c>
      <c r="BD42" s="162" t="e">
        <f t="shared" si="92"/>
        <v>#N/A</v>
      </c>
      <c r="BE42" s="162" t="e">
        <f t="shared" si="92"/>
        <v>#N/A</v>
      </c>
      <c r="BF42" s="162" t="e">
        <f t="shared" si="92"/>
        <v>#N/A</v>
      </c>
      <c r="BG42" s="162" t="e">
        <f t="shared" si="92"/>
        <v>#N/A</v>
      </c>
      <c r="BH42" s="208" t="s">
        <v>270</v>
      </c>
      <c r="BI42" s="162" t="e">
        <f t="shared" si="121"/>
        <v>#N/A</v>
      </c>
      <c r="BJ42" s="162" t="e">
        <f t="shared" si="121"/>
        <v>#N/A</v>
      </c>
      <c r="BK42" s="162" t="e">
        <f t="shared" si="121"/>
        <v>#N/A</v>
      </c>
      <c r="BL42" s="162" t="e">
        <f t="shared" si="121"/>
        <v>#N/A</v>
      </c>
      <c r="BM42" s="162" t="e">
        <f t="shared" si="121"/>
        <v>#N/A</v>
      </c>
      <c r="BO42" s="162" t="e">
        <f t="shared" si="122"/>
        <v>#N/A</v>
      </c>
      <c r="BP42" s="162" t="e">
        <f t="shared" si="123"/>
        <v>#N/A</v>
      </c>
      <c r="BQ42" s="162" t="e">
        <f t="shared" si="124"/>
        <v>#N/A</v>
      </c>
      <c r="BR42" s="162" t="e">
        <f t="shared" si="125"/>
        <v>#N/A</v>
      </c>
      <c r="BS42" s="162" t="e">
        <f t="shared" si="126"/>
        <v>#N/A</v>
      </c>
      <c r="BT42" s="112" t="e">
        <f t="shared" si="127"/>
        <v>#N/A</v>
      </c>
      <c r="BU42" s="178" t="e">
        <f t="shared" si="128"/>
        <v>#N/A</v>
      </c>
      <c r="BV42" s="488" t="e">
        <f t="shared" si="129"/>
        <v>#N/A</v>
      </c>
      <c r="BW42" s="488" t="e">
        <f t="shared" si="95"/>
        <v>#N/A</v>
      </c>
      <c r="BX42" s="488" t="e">
        <f t="shared" si="95"/>
        <v>#N/A</v>
      </c>
      <c r="BY42" s="488" t="e">
        <f t="shared" si="95"/>
        <v>#N/A</v>
      </c>
      <c r="BZ42" s="488" t="e">
        <f t="shared" si="95"/>
        <v>#N/A</v>
      </c>
      <c r="CA42" s="178" t="e">
        <f t="shared" si="130"/>
        <v>#N/A</v>
      </c>
      <c r="CB42" s="488" t="e">
        <f t="shared" si="131"/>
        <v>#N/A</v>
      </c>
      <c r="CC42" s="488" t="e">
        <f t="shared" si="96"/>
        <v>#N/A</v>
      </c>
      <c r="CD42" s="488" t="e">
        <f t="shared" si="97"/>
        <v>#N/A</v>
      </c>
      <c r="CE42" s="488" t="e">
        <f t="shared" si="98"/>
        <v>#N/A</v>
      </c>
      <c r="CF42" s="488" t="e">
        <f t="shared" si="99"/>
        <v>#N/A</v>
      </c>
      <c r="CG42" s="178" t="e">
        <f t="shared" si="132"/>
        <v>#N/A</v>
      </c>
      <c r="CH42" s="488" t="e">
        <f t="shared" si="133"/>
        <v>#N/A</v>
      </c>
      <c r="CI42" s="488" t="e">
        <f t="shared" si="100"/>
        <v>#N/A</v>
      </c>
      <c r="CJ42" s="488" t="e">
        <f t="shared" si="101"/>
        <v>#N/A</v>
      </c>
      <c r="CK42" s="488" t="e">
        <f t="shared" si="102"/>
        <v>#N/A</v>
      </c>
      <c r="CL42" s="488" t="e">
        <f t="shared" si="103"/>
        <v>#N/A</v>
      </c>
      <c r="CM42" s="178" t="e">
        <f t="shared" si="134"/>
        <v>#N/A</v>
      </c>
      <c r="CN42" s="488" t="e">
        <f t="shared" si="135"/>
        <v>#N/A</v>
      </c>
      <c r="CO42" s="488" t="e">
        <f t="shared" si="104"/>
        <v>#N/A</v>
      </c>
      <c r="CP42" s="488" t="e">
        <f t="shared" si="105"/>
        <v>#N/A</v>
      </c>
      <c r="CQ42" s="488" t="e">
        <f t="shared" si="106"/>
        <v>#N/A</v>
      </c>
      <c r="CR42" s="488" t="e">
        <f t="shared" si="107"/>
        <v>#N/A</v>
      </c>
      <c r="CS42" s="35"/>
      <c r="CT42" s="35"/>
      <c r="CU42" s="35"/>
      <c r="CV42" s="35"/>
      <c r="CW42" s="35"/>
    </row>
    <row r="43" spans="1:101" x14ac:dyDescent="0.25">
      <c r="A43" s="319"/>
      <c r="B43" s="152">
        <f t="shared" si="136"/>
        <v>0.24999999999999997</v>
      </c>
      <c r="C43" s="429" t="e">
        <f t="shared" si="66"/>
        <v>#N/A</v>
      </c>
      <c r="D43" s="550" t="str">
        <f t="shared" si="108"/>
        <v>YES</v>
      </c>
      <c r="E43" s="178" t="e">
        <f t="shared" si="109"/>
        <v>#N/A</v>
      </c>
      <c r="F43" s="162" t="e">
        <f t="shared" si="110"/>
        <v>#N/A</v>
      </c>
      <c r="G43" s="162" t="e">
        <f t="shared" si="111"/>
        <v>#N/A</v>
      </c>
      <c r="H43" s="162" t="e">
        <f t="shared" si="112"/>
        <v>#N/A</v>
      </c>
      <c r="I43" s="162" t="e">
        <f t="shared" si="113"/>
        <v>#N/A</v>
      </c>
      <c r="J43" s="112" t="e">
        <f t="shared" si="114"/>
        <v>#N/A</v>
      </c>
      <c r="K43" s="160" t="e">
        <f t="shared" si="115"/>
        <v>#N/A</v>
      </c>
      <c r="L43" s="162" t="e">
        <f t="shared" si="68"/>
        <v>#N/A</v>
      </c>
      <c r="M43" s="162" t="e">
        <f t="shared" si="69"/>
        <v>#N/A</v>
      </c>
      <c r="N43" s="162" t="e">
        <f t="shared" si="70"/>
        <v>#N/A</v>
      </c>
      <c r="O43" s="162" t="e">
        <f t="shared" si="71"/>
        <v>#N/A</v>
      </c>
      <c r="P43" s="112" t="e">
        <f t="shared" si="72"/>
        <v>#N/A</v>
      </c>
      <c r="Q43" s="178" t="e">
        <f t="shared" si="116"/>
        <v>#N/A</v>
      </c>
      <c r="R43" s="162" t="e">
        <f t="shared" si="73"/>
        <v>#N/A</v>
      </c>
      <c r="S43" s="162" t="e">
        <f t="shared" si="74"/>
        <v>#N/A</v>
      </c>
      <c r="T43" s="162" t="e">
        <f t="shared" si="75"/>
        <v>#N/A</v>
      </c>
      <c r="U43" s="162" t="e">
        <f t="shared" si="76"/>
        <v>#N/A</v>
      </c>
      <c r="V43" s="112" t="e">
        <f t="shared" si="77"/>
        <v>#N/A</v>
      </c>
      <c r="W43" s="178" t="e">
        <f t="shared" si="117"/>
        <v>#N/A</v>
      </c>
      <c r="X43" s="162" t="e">
        <f t="shared" si="78"/>
        <v>#N/A</v>
      </c>
      <c r="Y43" s="162" t="e">
        <f t="shared" si="79"/>
        <v>#N/A</v>
      </c>
      <c r="Z43" s="162" t="e">
        <f t="shared" si="80"/>
        <v>#N/A</v>
      </c>
      <c r="AA43" s="162" t="e">
        <f t="shared" si="81"/>
        <v>#N/A</v>
      </c>
      <c r="AB43" s="112" t="e">
        <f t="shared" si="82"/>
        <v>#N/A</v>
      </c>
      <c r="AC43" s="178" t="e">
        <f t="shared" si="118"/>
        <v>#N/A</v>
      </c>
      <c r="AD43" s="162" t="e">
        <f t="shared" si="83"/>
        <v>#N/A</v>
      </c>
      <c r="AE43" s="162" t="e">
        <f t="shared" si="84"/>
        <v>#N/A</v>
      </c>
      <c r="AF43" s="162" t="e">
        <f t="shared" si="85"/>
        <v>#N/A</v>
      </c>
      <c r="AG43" s="162" t="e">
        <f t="shared" si="86"/>
        <v>#N/A</v>
      </c>
      <c r="AH43" s="162" t="e">
        <f t="shared" si="87"/>
        <v>#N/A</v>
      </c>
      <c r="AI43" s="35"/>
      <c r="AJ43" s="166" t="s">
        <v>270</v>
      </c>
      <c r="AK43" s="166" t="s">
        <v>270</v>
      </c>
      <c r="AL43" s="166" t="s">
        <v>270</v>
      </c>
      <c r="AM43" s="166" t="s">
        <v>270</v>
      </c>
      <c r="AN43" s="166" t="s">
        <v>270</v>
      </c>
      <c r="AO43" s="166" t="s">
        <v>270</v>
      </c>
      <c r="AP43" s="208" t="s">
        <v>270</v>
      </c>
      <c r="AQ43" s="162" t="e">
        <f t="shared" si="88"/>
        <v>#N/A</v>
      </c>
      <c r="AR43" s="162" t="e">
        <f t="shared" si="119"/>
        <v>#N/A</v>
      </c>
      <c r="AS43" s="162" t="e">
        <f t="shared" si="119"/>
        <v>#N/A</v>
      </c>
      <c r="AT43" s="162" t="e">
        <f t="shared" si="119"/>
        <v>#N/A</v>
      </c>
      <c r="AU43" s="162" t="e">
        <f t="shared" si="119"/>
        <v>#N/A</v>
      </c>
      <c r="AV43" s="208" t="s">
        <v>270</v>
      </c>
      <c r="AW43" s="162" t="e">
        <f t="shared" si="90"/>
        <v>#N/A</v>
      </c>
      <c r="AX43" s="162" t="e">
        <f t="shared" si="120"/>
        <v>#N/A</v>
      </c>
      <c r="AY43" s="162" t="e">
        <f t="shared" si="120"/>
        <v>#N/A</v>
      </c>
      <c r="AZ43" s="162" t="e">
        <f t="shared" si="120"/>
        <v>#N/A</v>
      </c>
      <c r="BA43" s="162" t="e">
        <f t="shared" si="120"/>
        <v>#N/A</v>
      </c>
      <c r="BB43" s="208" t="s">
        <v>270</v>
      </c>
      <c r="BC43" s="162" t="e">
        <f t="shared" si="92"/>
        <v>#N/A</v>
      </c>
      <c r="BD43" s="162" t="e">
        <f t="shared" si="92"/>
        <v>#N/A</v>
      </c>
      <c r="BE43" s="162" t="e">
        <f t="shared" si="92"/>
        <v>#N/A</v>
      </c>
      <c r="BF43" s="162" t="e">
        <f t="shared" si="92"/>
        <v>#N/A</v>
      </c>
      <c r="BG43" s="162" t="e">
        <f t="shared" si="92"/>
        <v>#N/A</v>
      </c>
      <c r="BH43" s="208" t="s">
        <v>270</v>
      </c>
      <c r="BI43" s="162" t="e">
        <f t="shared" si="121"/>
        <v>#N/A</v>
      </c>
      <c r="BJ43" s="162" t="e">
        <f t="shared" si="121"/>
        <v>#N/A</v>
      </c>
      <c r="BK43" s="162" t="e">
        <f t="shared" si="121"/>
        <v>#N/A</v>
      </c>
      <c r="BL43" s="162" t="e">
        <f t="shared" si="121"/>
        <v>#N/A</v>
      </c>
      <c r="BM43" s="162" t="e">
        <f t="shared" si="121"/>
        <v>#N/A</v>
      </c>
      <c r="BO43" s="162" t="e">
        <f t="shared" si="122"/>
        <v>#N/A</v>
      </c>
      <c r="BP43" s="162" t="e">
        <f t="shared" si="123"/>
        <v>#N/A</v>
      </c>
      <c r="BQ43" s="162" t="e">
        <f t="shared" si="124"/>
        <v>#N/A</v>
      </c>
      <c r="BR43" s="162" t="e">
        <f t="shared" si="125"/>
        <v>#N/A</v>
      </c>
      <c r="BS43" s="162" t="e">
        <f t="shared" si="126"/>
        <v>#N/A</v>
      </c>
      <c r="BT43" s="112" t="e">
        <f t="shared" si="127"/>
        <v>#N/A</v>
      </c>
      <c r="BU43" s="178" t="e">
        <f t="shared" si="128"/>
        <v>#N/A</v>
      </c>
      <c r="BV43" s="488" t="e">
        <f t="shared" si="129"/>
        <v>#N/A</v>
      </c>
      <c r="BW43" s="488" t="e">
        <f t="shared" si="95"/>
        <v>#N/A</v>
      </c>
      <c r="BX43" s="488" t="e">
        <f t="shared" si="95"/>
        <v>#N/A</v>
      </c>
      <c r="BY43" s="488" t="e">
        <f t="shared" si="95"/>
        <v>#N/A</v>
      </c>
      <c r="BZ43" s="488" t="e">
        <f t="shared" si="95"/>
        <v>#N/A</v>
      </c>
      <c r="CA43" s="178" t="e">
        <f t="shared" si="130"/>
        <v>#N/A</v>
      </c>
      <c r="CB43" s="488" t="e">
        <f t="shared" si="131"/>
        <v>#N/A</v>
      </c>
      <c r="CC43" s="488" t="e">
        <f t="shared" si="96"/>
        <v>#N/A</v>
      </c>
      <c r="CD43" s="488" t="e">
        <f t="shared" si="97"/>
        <v>#N/A</v>
      </c>
      <c r="CE43" s="488" t="e">
        <f t="shared" si="98"/>
        <v>#N/A</v>
      </c>
      <c r="CF43" s="488" t="e">
        <f t="shared" si="99"/>
        <v>#N/A</v>
      </c>
      <c r="CG43" s="178" t="e">
        <f t="shared" si="132"/>
        <v>#N/A</v>
      </c>
      <c r="CH43" s="488" t="e">
        <f t="shared" si="133"/>
        <v>#N/A</v>
      </c>
      <c r="CI43" s="488" t="e">
        <f t="shared" si="100"/>
        <v>#N/A</v>
      </c>
      <c r="CJ43" s="488" t="e">
        <f t="shared" si="101"/>
        <v>#N/A</v>
      </c>
      <c r="CK43" s="488" t="e">
        <f t="shared" si="102"/>
        <v>#N/A</v>
      </c>
      <c r="CL43" s="488" t="e">
        <f t="shared" si="103"/>
        <v>#N/A</v>
      </c>
      <c r="CM43" s="178" t="e">
        <f t="shared" si="134"/>
        <v>#N/A</v>
      </c>
      <c r="CN43" s="488" t="e">
        <f t="shared" si="135"/>
        <v>#N/A</v>
      </c>
      <c r="CO43" s="488" t="e">
        <f t="shared" si="104"/>
        <v>#N/A</v>
      </c>
      <c r="CP43" s="488" t="e">
        <f t="shared" si="105"/>
        <v>#N/A</v>
      </c>
      <c r="CQ43" s="488" t="e">
        <f t="shared" si="106"/>
        <v>#N/A</v>
      </c>
      <c r="CR43" s="488" t="e">
        <f t="shared" si="107"/>
        <v>#N/A</v>
      </c>
      <c r="CS43" s="35"/>
      <c r="CT43" s="35"/>
      <c r="CU43" s="35"/>
      <c r="CV43" s="35"/>
      <c r="CW43" s="35"/>
    </row>
    <row r="44" spans="1:101" x14ac:dyDescent="0.25">
      <c r="A44" s="319"/>
      <c r="B44" s="152">
        <f t="shared" si="136"/>
        <v>0.29166666666666663</v>
      </c>
      <c r="C44" s="429" t="e">
        <f t="shared" si="66"/>
        <v>#N/A</v>
      </c>
      <c r="D44" s="550" t="str">
        <f t="shared" si="108"/>
        <v>YES</v>
      </c>
      <c r="E44" s="178" t="e">
        <f t="shared" si="109"/>
        <v>#N/A</v>
      </c>
      <c r="F44" s="162" t="e">
        <f t="shared" si="110"/>
        <v>#N/A</v>
      </c>
      <c r="G44" s="162" t="e">
        <f t="shared" si="111"/>
        <v>#N/A</v>
      </c>
      <c r="H44" s="162" t="e">
        <f t="shared" si="112"/>
        <v>#N/A</v>
      </c>
      <c r="I44" s="162" t="e">
        <f t="shared" si="113"/>
        <v>#N/A</v>
      </c>
      <c r="J44" s="112" t="e">
        <f t="shared" si="114"/>
        <v>#N/A</v>
      </c>
      <c r="K44" s="160" t="e">
        <f t="shared" si="115"/>
        <v>#N/A</v>
      </c>
      <c r="L44" s="162" t="e">
        <f t="shared" si="68"/>
        <v>#N/A</v>
      </c>
      <c r="M44" s="162" t="e">
        <f t="shared" si="69"/>
        <v>#N/A</v>
      </c>
      <c r="N44" s="162" t="e">
        <f t="shared" si="70"/>
        <v>#N/A</v>
      </c>
      <c r="O44" s="162" t="e">
        <f t="shared" si="71"/>
        <v>#N/A</v>
      </c>
      <c r="P44" s="112" t="e">
        <f t="shared" si="72"/>
        <v>#N/A</v>
      </c>
      <c r="Q44" s="178" t="e">
        <f t="shared" si="116"/>
        <v>#N/A</v>
      </c>
      <c r="R44" s="162" t="e">
        <f t="shared" si="73"/>
        <v>#N/A</v>
      </c>
      <c r="S44" s="162" t="e">
        <f t="shared" si="74"/>
        <v>#N/A</v>
      </c>
      <c r="T44" s="162" t="e">
        <f t="shared" si="75"/>
        <v>#N/A</v>
      </c>
      <c r="U44" s="162" t="e">
        <f t="shared" si="76"/>
        <v>#N/A</v>
      </c>
      <c r="V44" s="112" t="e">
        <f t="shared" si="77"/>
        <v>#N/A</v>
      </c>
      <c r="W44" s="178" t="e">
        <f t="shared" si="117"/>
        <v>#N/A</v>
      </c>
      <c r="X44" s="162" t="e">
        <f t="shared" si="78"/>
        <v>#N/A</v>
      </c>
      <c r="Y44" s="162" t="e">
        <f t="shared" si="79"/>
        <v>#N/A</v>
      </c>
      <c r="Z44" s="162" t="e">
        <f t="shared" si="80"/>
        <v>#N/A</v>
      </c>
      <c r="AA44" s="162" t="e">
        <f t="shared" si="81"/>
        <v>#N/A</v>
      </c>
      <c r="AB44" s="112" t="e">
        <f t="shared" si="82"/>
        <v>#N/A</v>
      </c>
      <c r="AC44" s="178" t="e">
        <f t="shared" si="118"/>
        <v>#N/A</v>
      </c>
      <c r="AD44" s="162" t="e">
        <f t="shared" si="83"/>
        <v>#N/A</v>
      </c>
      <c r="AE44" s="162" t="e">
        <f t="shared" si="84"/>
        <v>#N/A</v>
      </c>
      <c r="AF44" s="162" t="e">
        <f t="shared" si="85"/>
        <v>#N/A</v>
      </c>
      <c r="AG44" s="162" t="e">
        <f t="shared" si="86"/>
        <v>#N/A</v>
      </c>
      <c r="AH44" s="162" t="e">
        <f t="shared" si="87"/>
        <v>#N/A</v>
      </c>
      <c r="AI44" s="35"/>
      <c r="AJ44" s="166" t="s">
        <v>270</v>
      </c>
      <c r="AK44" s="166" t="s">
        <v>270</v>
      </c>
      <c r="AL44" s="166" t="s">
        <v>270</v>
      </c>
      <c r="AM44" s="166" t="s">
        <v>270</v>
      </c>
      <c r="AN44" s="166" t="s">
        <v>270</v>
      </c>
      <c r="AO44" s="166" t="s">
        <v>270</v>
      </c>
      <c r="AP44" s="208" t="s">
        <v>270</v>
      </c>
      <c r="AQ44" s="162" t="e">
        <f t="shared" si="88"/>
        <v>#N/A</v>
      </c>
      <c r="AR44" s="162" t="e">
        <f t="shared" si="119"/>
        <v>#N/A</v>
      </c>
      <c r="AS44" s="162" t="e">
        <f t="shared" si="119"/>
        <v>#N/A</v>
      </c>
      <c r="AT44" s="162" t="e">
        <f t="shared" si="119"/>
        <v>#N/A</v>
      </c>
      <c r="AU44" s="162" t="e">
        <f t="shared" si="119"/>
        <v>#N/A</v>
      </c>
      <c r="AV44" s="208" t="s">
        <v>270</v>
      </c>
      <c r="AW44" s="162" t="e">
        <f t="shared" si="90"/>
        <v>#N/A</v>
      </c>
      <c r="AX44" s="162" t="e">
        <f t="shared" si="120"/>
        <v>#N/A</v>
      </c>
      <c r="AY44" s="162" t="e">
        <f t="shared" si="120"/>
        <v>#N/A</v>
      </c>
      <c r="AZ44" s="162" t="e">
        <f t="shared" si="120"/>
        <v>#N/A</v>
      </c>
      <c r="BA44" s="162" t="e">
        <f t="shared" si="120"/>
        <v>#N/A</v>
      </c>
      <c r="BB44" s="208" t="s">
        <v>270</v>
      </c>
      <c r="BC44" s="162" t="e">
        <f t="shared" si="92"/>
        <v>#N/A</v>
      </c>
      <c r="BD44" s="162" t="e">
        <f t="shared" si="92"/>
        <v>#N/A</v>
      </c>
      <c r="BE44" s="162" t="e">
        <f t="shared" si="92"/>
        <v>#N/A</v>
      </c>
      <c r="BF44" s="162" t="e">
        <f t="shared" si="92"/>
        <v>#N/A</v>
      </c>
      <c r="BG44" s="162" t="e">
        <f t="shared" si="92"/>
        <v>#N/A</v>
      </c>
      <c r="BH44" s="208" t="s">
        <v>270</v>
      </c>
      <c r="BI44" s="162" t="e">
        <f t="shared" si="121"/>
        <v>#N/A</v>
      </c>
      <c r="BJ44" s="162" t="e">
        <f t="shared" si="121"/>
        <v>#N/A</v>
      </c>
      <c r="BK44" s="162" t="e">
        <f t="shared" si="121"/>
        <v>#N/A</v>
      </c>
      <c r="BL44" s="162" t="e">
        <f t="shared" si="121"/>
        <v>#N/A</v>
      </c>
      <c r="BM44" s="162" t="e">
        <f t="shared" si="121"/>
        <v>#N/A</v>
      </c>
      <c r="BO44" s="162" t="e">
        <f t="shared" si="122"/>
        <v>#N/A</v>
      </c>
      <c r="BP44" s="162" t="e">
        <f t="shared" si="123"/>
        <v>#N/A</v>
      </c>
      <c r="BQ44" s="162" t="e">
        <f t="shared" si="124"/>
        <v>#N/A</v>
      </c>
      <c r="BR44" s="162" t="e">
        <f t="shared" si="125"/>
        <v>#N/A</v>
      </c>
      <c r="BS44" s="162" t="e">
        <f t="shared" si="126"/>
        <v>#N/A</v>
      </c>
      <c r="BT44" s="112" t="e">
        <f t="shared" si="127"/>
        <v>#N/A</v>
      </c>
      <c r="BU44" s="178" t="e">
        <f t="shared" si="128"/>
        <v>#N/A</v>
      </c>
      <c r="BV44" s="488" t="e">
        <f t="shared" si="129"/>
        <v>#N/A</v>
      </c>
      <c r="BW44" s="488" t="e">
        <f t="shared" si="95"/>
        <v>#N/A</v>
      </c>
      <c r="BX44" s="488" t="e">
        <f t="shared" si="95"/>
        <v>#N/A</v>
      </c>
      <c r="BY44" s="488" t="e">
        <f t="shared" si="95"/>
        <v>#N/A</v>
      </c>
      <c r="BZ44" s="488" t="e">
        <f t="shared" si="95"/>
        <v>#N/A</v>
      </c>
      <c r="CA44" s="178" t="e">
        <f t="shared" si="130"/>
        <v>#N/A</v>
      </c>
      <c r="CB44" s="488" t="e">
        <f t="shared" si="131"/>
        <v>#N/A</v>
      </c>
      <c r="CC44" s="488" t="e">
        <f t="shared" si="96"/>
        <v>#N/A</v>
      </c>
      <c r="CD44" s="488" t="e">
        <f t="shared" si="97"/>
        <v>#N/A</v>
      </c>
      <c r="CE44" s="488" t="e">
        <f t="shared" si="98"/>
        <v>#N/A</v>
      </c>
      <c r="CF44" s="488" t="e">
        <f t="shared" si="99"/>
        <v>#N/A</v>
      </c>
      <c r="CG44" s="178" t="e">
        <f t="shared" si="132"/>
        <v>#N/A</v>
      </c>
      <c r="CH44" s="488" t="e">
        <f t="shared" si="133"/>
        <v>#N/A</v>
      </c>
      <c r="CI44" s="488" t="e">
        <f t="shared" si="100"/>
        <v>#N/A</v>
      </c>
      <c r="CJ44" s="488" t="e">
        <f t="shared" si="101"/>
        <v>#N/A</v>
      </c>
      <c r="CK44" s="488" t="e">
        <f t="shared" si="102"/>
        <v>#N/A</v>
      </c>
      <c r="CL44" s="488" t="e">
        <f t="shared" si="103"/>
        <v>#N/A</v>
      </c>
      <c r="CM44" s="178" t="e">
        <f t="shared" si="134"/>
        <v>#N/A</v>
      </c>
      <c r="CN44" s="488" t="e">
        <f t="shared" si="135"/>
        <v>#N/A</v>
      </c>
      <c r="CO44" s="488" t="e">
        <f t="shared" si="104"/>
        <v>#N/A</v>
      </c>
      <c r="CP44" s="488" t="e">
        <f t="shared" si="105"/>
        <v>#N/A</v>
      </c>
      <c r="CQ44" s="488" t="e">
        <f t="shared" si="106"/>
        <v>#N/A</v>
      </c>
      <c r="CR44" s="488" t="e">
        <f t="shared" si="107"/>
        <v>#N/A</v>
      </c>
      <c r="CS44" s="35"/>
      <c r="CT44" s="35"/>
      <c r="CU44" s="35"/>
      <c r="CV44" s="35"/>
      <c r="CW44" s="35"/>
    </row>
    <row r="45" spans="1:101" x14ac:dyDescent="0.25">
      <c r="A45" s="319"/>
      <c r="B45" s="152">
        <f t="shared" si="136"/>
        <v>0.33333333333333331</v>
      </c>
      <c r="C45" s="429" t="e">
        <f t="shared" si="66"/>
        <v>#N/A</v>
      </c>
      <c r="D45" s="550" t="str">
        <f t="shared" si="108"/>
        <v>YES</v>
      </c>
      <c r="E45" s="178" t="e">
        <f t="shared" si="109"/>
        <v>#N/A</v>
      </c>
      <c r="F45" s="162" t="e">
        <f t="shared" si="110"/>
        <v>#N/A</v>
      </c>
      <c r="G45" s="162" t="e">
        <f t="shared" si="111"/>
        <v>#N/A</v>
      </c>
      <c r="H45" s="162" t="e">
        <f t="shared" si="112"/>
        <v>#N/A</v>
      </c>
      <c r="I45" s="162" t="e">
        <f t="shared" si="113"/>
        <v>#N/A</v>
      </c>
      <c r="J45" s="112" t="e">
        <f t="shared" si="114"/>
        <v>#N/A</v>
      </c>
      <c r="K45" s="160" t="e">
        <f t="shared" si="115"/>
        <v>#N/A</v>
      </c>
      <c r="L45" s="162" t="e">
        <f t="shared" si="68"/>
        <v>#N/A</v>
      </c>
      <c r="M45" s="162" t="e">
        <f t="shared" si="69"/>
        <v>#N/A</v>
      </c>
      <c r="N45" s="162" t="e">
        <f t="shared" si="70"/>
        <v>#N/A</v>
      </c>
      <c r="O45" s="162" t="e">
        <f t="shared" si="71"/>
        <v>#N/A</v>
      </c>
      <c r="P45" s="112" t="e">
        <f t="shared" si="72"/>
        <v>#N/A</v>
      </c>
      <c r="Q45" s="178" t="e">
        <f t="shared" si="116"/>
        <v>#N/A</v>
      </c>
      <c r="R45" s="162" t="e">
        <f t="shared" si="73"/>
        <v>#N/A</v>
      </c>
      <c r="S45" s="162" t="e">
        <f t="shared" si="74"/>
        <v>#N/A</v>
      </c>
      <c r="T45" s="162" t="e">
        <f t="shared" si="75"/>
        <v>#N/A</v>
      </c>
      <c r="U45" s="162" t="e">
        <f t="shared" si="76"/>
        <v>#N/A</v>
      </c>
      <c r="V45" s="112" t="e">
        <f t="shared" si="77"/>
        <v>#N/A</v>
      </c>
      <c r="W45" s="178" t="e">
        <f t="shared" si="117"/>
        <v>#N/A</v>
      </c>
      <c r="X45" s="162" t="e">
        <f t="shared" si="78"/>
        <v>#N/A</v>
      </c>
      <c r="Y45" s="162" t="e">
        <f t="shared" si="79"/>
        <v>#N/A</v>
      </c>
      <c r="Z45" s="162" t="e">
        <f t="shared" si="80"/>
        <v>#N/A</v>
      </c>
      <c r="AA45" s="162" t="e">
        <f t="shared" si="81"/>
        <v>#N/A</v>
      </c>
      <c r="AB45" s="112" t="e">
        <f t="shared" si="82"/>
        <v>#N/A</v>
      </c>
      <c r="AC45" s="178" t="e">
        <f t="shared" si="118"/>
        <v>#N/A</v>
      </c>
      <c r="AD45" s="162" t="e">
        <f t="shared" si="83"/>
        <v>#N/A</v>
      </c>
      <c r="AE45" s="162" t="e">
        <f t="shared" si="84"/>
        <v>#N/A</v>
      </c>
      <c r="AF45" s="162" t="e">
        <f t="shared" si="85"/>
        <v>#N/A</v>
      </c>
      <c r="AG45" s="162" t="e">
        <f t="shared" si="86"/>
        <v>#N/A</v>
      </c>
      <c r="AH45" s="162" t="e">
        <f t="shared" si="87"/>
        <v>#N/A</v>
      </c>
      <c r="AI45" s="35"/>
      <c r="AJ45" s="166" t="s">
        <v>270</v>
      </c>
      <c r="AK45" s="166" t="s">
        <v>270</v>
      </c>
      <c r="AL45" s="166" t="s">
        <v>270</v>
      </c>
      <c r="AM45" s="166" t="s">
        <v>270</v>
      </c>
      <c r="AN45" s="166" t="s">
        <v>270</v>
      </c>
      <c r="AO45" s="166" t="s">
        <v>270</v>
      </c>
      <c r="AP45" s="208" t="s">
        <v>270</v>
      </c>
      <c r="AQ45" s="162" t="e">
        <f t="shared" si="88"/>
        <v>#N/A</v>
      </c>
      <c r="AR45" s="162" t="e">
        <f t="shared" si="119"/>
        <v>#N/A</v>
      </c>
      <c r="AS45" s="162" t="e">
        <f t="shared" si="119"/>
        <v>#N/A</v>
      </c>
      <c r="AT45" s="162" t="e">
        <f t="shared" si="119"/>
        <v>#N/A</v>
      </c>
      <c r="AU45" s="162" t="e">
        <f t="shared" si="119"/>
        <v>#N/A</v>
      </c>
      <c r="AV45" s="208" t="s">
        <v>270</v>
      </c>
      <c r="AW45" s="162" t="e">
        <f t="shared" si="90"/>
        <v>#N/A</v>
      </c>
      <c r="AX45" s="162" t="e">
        <f t="shared" si="120"/>
        <v>#N/A</v>
      </c>
      <c r="AY45" s="162" t="e">
        <f t="shared" si="120"/>
        <v>#N/A</v>
      </c>
      <c r="AZ45" s="162" t="e">
        <f t="shared" si="120"/>
        <v>#N/A</v>
      </c>
      <c r="BA45" s="162" t="e">
        <f t="shared" si="120"/>
        <v>#N/A</v>
      </c>
      <c r="BB45" s="208" t="s">
        <v>270</v>
      </c>
      <c r="BC45" s="162" t="e">
        <f t="shared" si="92"/>
        <v>#N/A</v>
      </c>
      <c r="BD45" s="162" t="e">
        <f t="shared" si="92"/>
        <v>#N/A</v>
      </c>
      <c r="BE45" s="162" t="e">
        <f t="shared" si="92"/>
        <v>#N/A</v>
      </c>
      <c r="BF45" s="162" t="e">
        <f t="shared" si="92"/>
        <v>#N/A</v>
      </c>
      <c r="BG45" s="162" t="e">
        <f t="shared" si="92"/>
        <v>#N/A</v>
      </c>
      <c r="BH45" s="208" t="s">
        <v>270</v>
      </c>
      <c r="BI45" s="162" t="e">
        <f t="shared" si="121"/>
        <v>#N/A</v>
      </c>
      <c r="BJ45" s="162" t="e">
        <f t="shared" si="121"/>
        <v>#N/A</v>
      </c>
      <c r="BK45" s="162" t="e">
        <f t="shared" si="121"/>
        <v>#N/A</v>
      </c>
      <c r="BL45" s="162" t="e">
        <f t="shared" si="121"/>
        <v>#N/A</v>
      </c>
      <c r="BM45" s="162" t="e">
        <f t="shared" si="121"/>
        <v>#N/A</v>
      </c>
      <c r="BO45" s="162" t="e">
        <f t="shared" si="122"/>
        <v>#N/A</v>
      </c>
      <c r="BP45" s="162" t="e">
        <f t="shared" si="123"/>
        <v>#N/A</v>
      </c>
      <c r="BQ45" s="162" t="e">
        <f t="shared" si="124"/>
        <v>#N/A</v>
      </c>
      <c r="BR45" s="162" t="e">
        <f t="shared" si="125"/>
        <v>#N/A</v>
      </c>
      <c r="BS45" s="162" t="e">
        <f t="shared" si="126"/>
        <v>#N/A</v>
      </c>
      <c r="BT45" s="112" t="e">
        <f t="shared" si="127"/>
        <v>#N/A</v>
      </c>
      <c r="BU45" s="178" t="e">
        <f t="shared" si="128"/>
        <v>#N/A</v>
      </c>
      <c r="BV45" s="488" t="e">
        <f t="shared" si="129"/>
        <v>#N/A</v>
      </c>
      <c r="BW45" s="488" t="e">
        <f t="shared" si="95"/>
        <v>#N/A</v>
      </c>
      <c r="BX45" s="488" t="e">
        <f t="shared" si="95"/>
        <v>#N/A</v>
      </c>
      <c r="BY45" s="488" t="e">
        <f t="shared" si="95"/>
        <v>#N/A</v>
      </c>
      <c r="BZ45" s="488" t="e">
        <f t="shared" si="95"/>
        <v>#N/A</v>
      </c>
      <c r="CA45" s="178" t="e">
        <f t="shared" si="130"/>
        <v>#N/A</v>
      </c>
      <c r="CB45" s="488" t="e">
        <f t="shared" si="131"/>
        <v>#N/A</v>
      </c>
      <c r="CC45" s="488" t="e">
        <f t="shared" si="96"/>
        <v>#N/A</v>
      </c>
      <c r="CD45" s="488" t="e">
        <f t="shared" si="97"/>
        <v>#N/A</v>
      </c>
      <c r="CE45" s="488" t="e">
        <f t="shared" si="98"/>
        <v>#N/A</v>
      </c>
      <c r="CF45" s="488" t="e">
        <f t="shared" si="99"/>
        <v>#N/A</v>
      </c>
      <c r="CG45" s="178" t="e">
        <f t="shared" si="132"/>
        <v>#N/A</v>
      </c>
      <c r="CH45" s="488" t="e">
        <f t="shared" si="133"/>
        <v>#N/A</v>
      </c>
      <c r="CI45" s="488" t="e">
        <f t="shared" si="100"/>
        <v>#N/A</v>
      </c>
      <c r="CJ45" s="488" t="e">
        <f t="shared" si="101"/>
        <v>#N/A</v>
      </c>
      <c r="CK45" s="488" t="e">
        <f t="shared" si="102"/>
        <v>#N/A</v>
      </c>
      <c r="CL45" s="488" t="e">
        <f t="shared" si="103"/>
        <v>#N/A</v>
      </c>
      <c r="CM45" s="178" t="e">
        <f t="shared" si="134"/>
        <v>#N/A</v>
      </c>
      <c r="CN45" s="488" t="e">
        <f t="shared" si="135"/>
        <v>#N/A</v>
      </c>
      <c r="CO45" s="488" t="e">
        <f t="shared" si="104"/>
        <v>#N/A</v>
      </c>
      <c r="CP45" s="488" t="e">
        <f t="shared" si="105"/>
        <v>#N/A</v>
      </c>
      <c r="CQ45" s="488" t="e">
        <f t="shared" si="106"/>
        <v>#N/A</v>
      </c>
      <c r="CR45" s="488" t="e">
        <f t="shared" si="107"/>
        <v>#N/A</v>
      </c>
      <c r="CS45" s="35"/>
      <c r="CT45" s="35"/>
      <c r="CU45" s="35"/>
      <c r="CV45" s="35"/>
      <c r="CW45" s="35"/>
    </row>
    <row r="46" spans="1:101" x14ac:dyDescent="0.25">
      <c r="A46" s="319"/>
      <c r="B46" s="152">
        <f t="shared" si="136"/>
        <v>0.375</v>
      </c>
      <c r="C46" s="429" t="e">
        <f t="shared" si="66"/>
        <v>#N/A</v>
      </c>
      <c r="D46" s="550" t="str">
        <f t="shared" si="108"/>
        <v>YES</v>
      </c>
      <c r="E46" s="178" t="e">
        <f t="shared" si="109"/>
        <v>#N/A</v>
      </c>
      <c r="F46" s="162" t="e">
        <f t="shared" si="110"/>
        <v>#N/A</v>
      </c>
      <c r="G46" s="162" t="e">
        <f t="shared" si="111"/>
        <v>#N/A</v>
      </c>
      <c r="H46" s="162" t="e">
        <f t="shared" si="112"/>
        <v>#N/A</v>
      </c>
      <c r="I46" s="162" t="e">
        <f t="shared" si="113"/>
        <v>#N/A</v>
      </c>
      <c r="J46" s="112" t="e">
        <f t="shared" si="114"/>
        <v>#N/A</v>
      </c>
      <c r="K46" s="160" t="e">
        <f t="shared" si="115"/>
        <v>#N/A</v>
      </c>
      <c r="L46" s="162" t="e">
        <f t="shared" si="68"/>
        <v>#N/A</v>
      </c>
      <c r="M46" s="162" t="e">
        <f t="shared" si="69"/>
        <v>#N/A</v>
      </c>
      <c r="N46" s="162" t="e">
        <f t="shared" si="70"/>
        <v>#N/A</v>
      </c>
      <c r="O46" s="162" t="e">
        <f t="shared" si="71"/>
        <v>#N/A</v>
      </c>
      <c r="P46" s="112" t="e">
        <f t="shared" si="72"/>
        <v>#N/A</v>
      </c>
      <c r="Q46" s="178" t="e">
        <f t="shared" si="116"/>
        <v>#N/A</v>
      </c>
      <c r="R46" s="162" t="e">
        <f t="shared" si="73"/>
        <v>#N/A</v>
      </c>
      <c r="S46" s="162" t="e">
        <f t="shared" si="74"/>
        <v>#N/A</v>
      </c>
      <c r="T46" s="162" t="e">
        <f t="shared" si="75"/>
        <v>#N/A</v>
      </c>
      <c r="U46" s="162" t="e">
        <f t="shared" si="76"/>
        <v>#N/A</v>
      </c>
      <c r="V46" s="112" t="e">
        <f t="shared" si="77"/>
        <v>#N/A</v>
      </c>
      <c r="W46" s="178" t="e">
        <f t="shared" si="117"/>
        <v>#N/A</v>
      </c>
      <c r="X46" s="162" t="e">
        <f t="shared" si="78"/>
        <v>#N/A</v>
      </c>
      <c r="Y46" s="162" t="e">
        <f t="shared" si="79"/>
        <v>#N/A</v>
      </c>
      <c r="Z46" s="162" t="e">
        <f t="shared" si="80"/>
        <v>#N/A</v>
      </c>
      <c r="AA46" s="162" t="e">
        <f t="shared" si="81"/>
        <v>#N/A</v>
      </c>
      <c r="AB46" s="112" t="e">
        <f t="shared" si="82"/>
        <v>#N/A</v>
      </c>
      <c r="AC46" s="178" t="e">
        <f t="shared" si="118"/>
        <v>#N/A</v>
      </c>
      <c r="AD46" s="162" t="e">
        <f t="shared" si="83"/>
        <v>#N/A</v>
      </c>
      <c r="AE46" s="162" t="e">
        <f t="shared" si="84"/>
        <v>#N/A</v>
      </c>
      <c r="AF46" s="162" t="e">
        <f t="shared" si="85"/>
        <v>#N/A</v>
      </c>
      <c r="AG46" s="162" t="e">
        <f t="shared" si="86"/>
        <v>#N/A</v>
      </c>
      <c r="AH46" s="162" t="e">
        <f t="shared" si="87"/>
        <v>#N/A</v>
      </c>
      <c r="AI46" s="35"/>
      <c r="AJ46" s="166" t="s">
        <v>270</v>
      </c>
      <c r="AK46" s="166" t="s">
        <v>270</v>
      </c>
      <c r="AL46" s="166" t="s">
        <v>270</v>
      </c>
      <c r="AM46" s="166" t="s">
        <v>270</v>
      </c>
      <c r="AN46" s="166" t="s">
        <v>270</v>
      </c>
      <c r="AO46" s="166" t="s">
        <v>270</v>
      </c>
      <c r="AP46" s="208" t="s">
        <v>270</v>
      </c>
      <c r="AQ46" s="162" t="e">
        <f t="shared" si="88"/>
        <v>#N/A</v>
      </c>
      <c r="AR46" s="162" t="e">
        <f t="shared" si="119"/>
        <v>#N/A</v>
      </c>
      <c r="AS46" s="162" t="e">
        <f t="shared" si="119"/>
        <v>#N/A</v>
      </c>
      <c r="AT46" s="162" t="e">
        <f t="shared" si="119"/>
        <v>#N/A</v>
      </c>
      <c r="AU46" s="162" t="e">
        <f t="shared" si="119"/>
        <v>#N/A</v>
      </c>
      <c r="AV46" s="208" t="s">
        <v>270</v>
      </c>
      <c r="AW46" s="162" t="e">
        <f t="shared" si="90"/>
        <v>#N/A</v>
      </c>
      <c r="AX46" s="162" t="e">
        <f t="shared" si="120"/>
        <v>#N/A</v>
      </c>
      <c r="AY46" s="162" t="e">
        <f t="shared" si="120"/>
        <v>#N/A</v>
      </c>
      <c r="AZ46" s="162" t="e">
        <f t="shared" si="120"/>
        <v>#N/A</v>
      </c>
      <c r="BA46" s="162" t="e">
        <f t="shared" si="120"/>
        <v>#N/A</v>
      </c>
      <c r="BB46" s="208" t="s">
        <v>270</v>
      </c>
      <c r="BC46" s="162" t="e">
        <f t="shared" si="92"/>
        <v>#N/A</v>
      </c>
      <c r="BD46" s="162" t="e">
        <f t="shared" si="92"/>
        <v>#N/A</v>
      </c>
      <c r="BE46" s="162" t="e">
        <f t="shared" si="92"/>
        <v>#N/A</v>
      </c>
      <c r="BF46" s="162" t="e">
        <f t="shared" si="92"/>
        <v>#N/A</v>
      </c>
      <c r="BG46" s="162" t="e">
        <f t="shared" si="92"/>
        <v>#N/A</v>
      </c>
      <c r="BH46" s="208" t="s">
        <v>270</v>
      </c>
      <c r="BI46" s="162" t="e">
        <f t="shared" si="121"/>
        <v>#N/A</v>
      </c>
      <c r="BJ46" s="162" t="e">
        <f t="shared" si="121"/>
        <v>#N/A</v>
      </c>
      <c r="BK46" s="162" t="e">
        <f t="shared" si="121"/>
        <v>#N/A</v>
      </c>
      <c r="BL46" s="162" t="e">
        <f t="shared" si="121"/>
        <v>#N/A</v>
      </c>
      <c r="BM46" s="162" t="e">
        <f t="shared" si="121"/>
        <v>#N/A</v>
      </c>
      <c r="BO46" s="162" t="e">
        <f t="shared" si="122"/>
        <v>#N/A</v>
      </c>
      <c r="BP46" s="162" t="e">
        <f t="shared" si="123"/>
        <v>#N/A</v>
      </c>
      <c r="BQ46" s="162" t="e">
        <f t="shared" si="124"/>
        <v>#N/A</v>
      </c>
      <c r="BR46" s="162" t="e">
        <f t="shared" si="125"/>
        <v>#N/A</v>
      </c>
      <c r="BS46" s="162" t="e">
        <f t="shared" si="126"/>
        <v>#N/A</v>
      </c>
      <c r="BT46" s="112" t="e">
        <f t="shared" si="127"/>
        <v>#N/A</v>
      </c>
      <c r="BU46" s="178" t="e">
        <f t="shared" si="128"/>
        <v>#N/A</v>
      </c>
      <c r="BV46" s="488" t="e">
        <f t="shared" si="129"/>
        <v>#N/A</v>
      </c>
      <c r="BW46" s="488" t="e">
        <f t="shared" si="95"/>
        <v>#N/A</v>
      </c>
      <c r="BX46" s="488" t="e">
        <f t="shared" si="95"/>
        <v>#N/A</v>
      </c>
      <c r="BY46" s="488" t="e">
        <f t="shared" si="95"/>
        <v>#N/A</v>
      </c>
      <c r="BZ46" s="488" t="e">
        <f t="shared" si="95"/>
        <v>#N/A</v>
      </c>
      <c r="CA46" s="178" t="e">
        <f t="shared" si="130"/>
        <v>#N/A</v>
      </c>
      <c r="CB46" s="488" t="e">
        <f t="shared" si="131"/>
        <v>#N/A</v>
      </c>
      <c r="CC46" s="488" t="e">
        <f t="shared" si="96"/>
        <v>#N/A</v>
      </c>
      <c r="CD46" s="488" t="e">
        <f t="shared" si="97"/>
        <v>#N/A</v>
      </c>
      <c r="CE46" s="488" t="e">
        <f t="shared" si="98"/>
        <v>#N/A</v>
      </c>
      <c r="CF46" s="488" t="e">
        <f t="shared" si="99"/>
        <v>#N/A</v>
      </c>
      <c r="CG46" s="178" t="e">
        <f t="shared" si="132"/>
        <v>#N/A</v>
      </c>
      <c r="CH46" s="488" t="e">
        <f t="shared" si="133"/>
        <v>#N/A</v>
      </c>
      <c r="CI46" s="488" t="e">
        <f t="shared" si="100"/>
        <v>#N/A</v>
      </c>
      <c r="CJ46" s="488" t="e">
        <f t="shared" si="101"/>
        <v>#N/A</v>
      </c>
      <c r="CK46" s="488" t="e">
        <f t="shared" si="102"/>
        <v>#N/A</v>
      </c>
      <c r="CL46" s="488" t="e">
        <f t="shared" si="103"/>
        <v>#N/A</v>
      </c>
      <c r="CM46" s="178" t="e">
        <f t="shared" si="134"/>
        <v>#N/A</v>
      </c>
      <c r="CN46" s="488" t="e">
        <f t="shared" si="135"/>
        <v>#N/A</v>
      </c>
      <c r="CO46" s="488" t="e">
        <f t="shared" si="104"/>
        <v>#N/A</v>
      </c>
      <c r="CP46" s="488" t="e">
        <f t="shared" si="105"/>
        <v>#N/A</v>
      </c>
      <c r="CQ46" s="488" t="e">
        <f t="shared" si="106"/>
        <v>#N/A</v>
      </c>
      <c r="CR46" s="488" t="e">
        <f t="shared" si="107"/>
        <v>#N/A</v>
      </c>
      <c r="CS46" s="35"/>
      <c r="CT46" s="35"/>
      <c r="CU46" s="35"/>
      <c r="CV46" s="35"/>
      <c r="CW46" s="35"/>
    </row>
    <row r="47" spans="1:101" x14ac:dyDescent="0.25">
      <c r="A47" s="319"/>
      <c r="B47" s="152">
        <f t="shared" si="136"/>
        <v>0.41666666666666669</v>
      </c>
      <c r="C47" s="429" t="e">
        <f t="shared" si="66"/>
        <v>#N/A</v>
      </c>
      <c r="D47" s="550" t="str">
        <f t="shared" si="108"/>
        <v>YES</v>
      </c>
      <c r="E47" s="178" t="e">
        <f t="shared" si="109"/>
        <v>#N/A</v>
      </c>
      <c r="F47" s="162" t="e">
        <f t="shared" si="110"/>
        <v>#N/A</v>
      </c>
      <c r="G47" s="162" t="e">
        <f t="shared" si="111"/>
        <v>#N/A</v>
      </c>
      <c r="H47" s="162" t="e">
        <f t="shared" si="112"/>
        <v>#N/A</v>
      </c>
      <c r="I47" s="162" t="e">
        <f t="shared" si="113"/>
        <v>#N/A</v>
      </c>
      <c r="J47" s="112" t="e">
        <f t="shared" si="114"/>
        <v>#N/A</v>
      </c>
      <c r="K47" s="160" t="e">
        <f t="shared" si="115"/>
        <v>#N/A</v>
      </c>
      <c r="L47" s="162" t="e">
        <f t="shared" si="68"/>
        <v>#N/A</v>
      </c>
      <c r="M47" s="162" t="e">
        <f t="shared" si="69"/>
        <v>#N/A</v>
      </c>
      <c r="N47" s="162" t="e">
        <f t="shared" si="70"/>
        <v>#N/A</v>
      </c>
      <c r="O47" s="162" t="e">
        <f t="shared" si="71"/>
        <v>#N/A</v>
      </c>
      <c r="P47" s="112" t="e">
        <f t="shared" si="72"/>
        <v>#N/A</v>
      </c>
      <c r="Q47" s="178" t="e">
        <f t="shared" si="116"/>
        <v>#N/A</v>
      </c>
      <c r="R47" s="162" t="e">
        <f t="shared" si="73"/>
        <v>#N/A</v>
      </c>
      <c r="S47" s="162" t="e">
        <f t="shared" si="74"/>
        <v>#N/A</v>
      </c>
      <c r="T47" s="162" t="e">
        <f t="shared" si="75"/>
        <v>#N/A</v>
      </c>
      <c r="U47" s="162" t="e">
        <f t="shared" si="76"/>
        <v>#N/A</v>
      </c>
      <c r="V47" s="112" t="e">
        <f t="shared" si="77"/>
        <v>#N/A</v>
      </c>
      <c r="W47" s="178" t="e">
        <f t="shared" si="117"/>
        <v>#N/A</v>
      </c>
      <c r="X47" s="162" t="e">
        <f t="shared" si="78"/>
        <v>#N/A</v>
      </c>
      <c r="Y47" s="162" t="e">
        <f t="shared" si="79"/>
        <v>#N/A</v>
      </c>
      <c r="Z47" s="162" t="e">
        <f t="shared" si="80"/>
        <v>#N/A</v>
      </c>
      <c r="AA47" s="162" t="e">
        <f t="shared" si="81"/>
        <v>#N/A</v>
      </c>
      <c r="AB47" s="112" t="e">
        <f t="shared" si="82"/>
        <v>#N/A</v>
      </c>
      <c r="AC47" s="178" t="e">
        <f t="shared" si="118"/>
        <v>#N/A</v>
      </c>
      <c r="AD47" s="162" t="e">
        <f t="shared" si="83"/>
        <v>#N/A</v>
      </c>
      <c r="AE47" s="162" t="e">
        <f t="shared" si="84"/>
        <v>#N/A</v>
      </c>
      <c r="AF47" s="162" t="e">
        <f t="shared" si="85"/>
        <v>#N/A</v>
      </c>
      <c r="AG47" s="162" t="e">
        <f t="shared" si="86"/>
        <v>#N/A</v>
      </c>
      <c r="AH47" s="162" t="e">
        <f t="shared" si="87"/>
        <v>#N/A</v>
      </c>
      <c r="AI47" s="35"/>
      <c r="AJ47" s="166" t="s">
        <v>270</v>
      </c>
      <c r="AK47" s="166" t="s">
        <v>270</v>
      </c>
      <c r="AL47" s="166" t="s">
        <v>270</v>
      </c>
      <c r="AM47" s="166" t="s">
        <v>270</v>
      </c>
      <c r="AN47" s="166" t="s">
        <v>270</v>
      </c>
      <c r="AO47" s="166" t="s">
        <v>270</v>
      </c>
      <c r="AP47" s="208" t="s">
        <v>270</v>
      </c>
      <c r="AQ47" s="162" t="e">
        <f t="shared" si="88"/>
        <v>#N/A</v>
      </c>
      <c r="AR47" s="162" t="e">
        <f t="shared" si="119"/>
        <v>#N/A</v>
      </c>
      <c r="AS47" s="162" t="e">
        <f t="shared" si="119"/>
        <v>#N/A</v>
      </c>
      <c r="AT47" s="162" t="e">
        <f t="shared" si="119"/>
        <v>#N/A</v>
      </c>
      <c r="AU47" s="162" t="e">
        <f t="shared" si="119"/>
        <v>#N/A</v>
      </c>
      <c r="AV47" s="208" t="s">
        <v>270</v>
      </c>
      <c r="AW47" s="162" t="e">
        <f t="shared" si="90"/>
        <v>#N/A</v>
      </c>
      <c r="AX47" s="162" t="e">
        <f t="shared" si="120"/>
        <v>#N/A</v>
      </c>
      <c r="AY47" s="162" t="e">
        <f t="shared" si="120"/>
        <v>#N/A</v>
      </c>
      <c r="AZ47" s="162" t="e">
        <f t="shared" si="120"/>
        <v>#N/A</v>
      </c>
      <c r="BA47" s="162" t="e">
        <f t="shared" si="120"/>
        <v>#N/A</v>
      </c>
      <c r="BB47" s="208" t="s">
        <v>270</v>
      </c>
      <c r="BC47" s="162" t="e">
        <f t="shared" si="92"/>
        <v>#N/A</v>
      </c>
      <c r="BD47" s="162" t="e">
        <f t="shared" si="92"/>
        <v>#N/A</v>
      </c>
      <c r="BE47" s="162" t="e">
        <f t="shared" si="92"/>
        <v>#N/A</v>
      </c>
      <c r="BF47" s="162" t="e">
        <f t="shared" si="92"/>
        <v>#N/A</v>
      </c>
      <c r="BG47" s="162" t="e">
        <f t="shared" si="92"/>
        <v>#N/A</v>
      </c>
      <c r="BH47" s="208" t="s">
        <v>270</v>
      </c>
      <c r="BI47" s="162" t="e">
        <f t="shared" si="121"/>
        <v>#N/A</v>
      </c>
      <c r="BJ47" s="162" t="e">
        <f t="shared" si="121"/>
        <v>#N/A</v>
      </c>
      <c r="BK47" s="162" t="e">
        <f t="shared" si="121"/>
        <v>#N/A</v>
      </c>
      <c r="BL47" s="162" t="e">
        <f t="shared" si="121"/>
        <v>#N/A</v>
      </c>
      <c r="BM47" s="162" t="e">
        <f t="shared" si="121"/>
        <v>#N/A</v>
      </c>
      <c r="BO47" s="162" t="e">
        <f t="shared" si="122"/>
        <v>#N/A</v>
      </c>
      <c r="BP47" s="162" t="e">
        <f t="shared" si="123"/>
        <v>#N/A</v>
      </c>
      <c r="BQ47" s="162" t="e">
        <f t="shared" si="124"/>
        <v>#N/A</v>
      </c>
      <c r="BR47" s="162" t="e">
        <f t="shared" si="125"/>
        <v>#N/A</v>
      </c>
      <c r="BS47" s="162" t="e">
        <f t="shared" si="126"/>
        <v>#N/A</v>
      </c>
      <c r="BT47" s="112" t="e">
        <f t="shared" si="127"/>
        <v>#N/A</v>
      </c>
      <c r="BU47" s="178" t="e">
        <f t="shared" si="128"/>
        <v>#N/A</v>
      </c>
      <c r="BV47" s="488" t="e">
        <f t="shared" si="129"/>
        <v>#N/A</v>
      </c>
      <c r="BW47" s="488" t="e">
        <f t="shared" si="95"/>
        <v>#N/A</v>
      </c>
      <c r="BX47" s="488" t="e">
        <f t="shared" si="95"/>
        <v>#N/A</v>
      </c>
      <c r="BY47" s="488" t="e">
        <f t="shared" si="95"/>
        <v>#N/A</v>
      </c>
      <c r="BZ47" s="488" t="e">
        <f t="shared" si="95"/>
        <v>#N/A</v>
      </c>
      <c r="CA47" s="178" t="e">
        <f t="shared" si="130"/>
        <v>#N/A</v>
      </c>
      <c r="CB47" s="488" t="e">
        <f t="shared" si="131"/>
        <v>#N/A</v>
      </c>
      <c r="CC47" s="488" t="e">
        <f t="shared" si="96"/>
        <v>#N/A</v>
      </c>
      <c r="CD47" s="488" t="e">
        <f t="shared" si="97"/>
        <v>#N/A</v>
      </c>
      <c r="CE47" s="488" t="e">
        <f t="shared" si="98"/>
        <v>#N/A</v>
      </c>
      <c r="CF47" s="488" t="e">
        <f t="shared" si="99"/>
        <v>#N/A</v>
      </c>
      <c r="CG47" s="178" t="e">
        <f t="shared" si="132"/>
        <v>#N/A</v>
      </c>
      <c r="CH47" s="488" t="e">
        <f t="shared" si="133"/>
        <v>#N/A</v>
      </c>
      <c r="CI47" s="488" t="e">
        <f t="shared" si="100"/>
        <v>#N/A</v>
      </c>
      <c r="CJ47" s="488" t="e">
        <f t="shared" si="101"/>
        <v>#N/A</v>
      </c>
      <c r="CK47" s="488" t="e">
        <f t="shared" si="102"/>
        <v>#N/A</v>
      </c>
      <c r="CL47" s="488" t="e">
        <f t="shared" si="103"/>
        <v>#N/A</v>
      </c>
      <c r="CM47" s="178" t="e">
        <f t="shared" si="134"/>
        <v>#N/A</v>
      </c>
      <c r="CN47" s="488" t="e">
        <f t="shared" si="135"/>
        <v>#N/A</v>
      </c>
      <c r="CO47" s="488" t="e">
        <f t="shared" si="104"/>
        <v>#N/A</v>
      </c>
      <c r="CP47" s="488" t="e">
        <f t="shared" si="105"/>
        <v>#N/A</v>
      </c>
      <c r="CQ47" s="488" t="e">
        <f t="shared" si="106"/>
        <v>#N/A</v>
      </c>
      <c r="CR47" s="488" t="e">
        <f t="shared" si="107"/>
        <v>#N/A</v>
      </c>
      <c r="CS47" s="35"/>
      <c r="CT47" s="35"/>
      <c r="CU47" s="35"/>
      <c r="CV47" s="35"/>
      <c r="CW47" s="35"/>
    </row>
    <row r="48" spans="1:101" x14ac:dyDescent="0.25">
      <c r="A48" s="319"/>
      <c r="B48" s="152">
        <f t="shared" si="136"/>
        <v>0.45833333333333337</v>
      </c>
      <c r="C48" s="429" t="e">
        <f t="shared" si="66"/>
        <v>#N/A</v>
      </c>
      <c r="D48" s="550" t="str">
        <f t="shared" si="108"/>
        <v>YES</v>
      </c>
      <c r="E48" s="178" t="e">
        <f t="shared" si="109"/>
        <v>#N/A</v>
      </c>
      <c r="F48" s="162" t="e">
        <f t="shared" si="110"/>
        <v>#N/A</v>
      </c>
      <c r="G48" s="162" t="e">
        <f t="shared" si="111"/>
        <v>#N/A</v>
      </c>
      <c r="H48" s="162" t="e">
        <f t="shared" si="112"/>
        <v>#N/A</v>
      </c>
      <c r="I48" s="162" t="e">
        <f t="shared" si="113"/>
        <v>#N/A</v>
      </c>
      <c r="J48" s="112" t="e">
        <f t="shared" si="114"/>
        <v>#N/A</v>
      </c>
      <c r="K48" s="160" t="e">
        <f t="shared" si="115"/>
        <v>#N/A</v>
      </c>
      <c r="L48" s="162" t="e">
        <f t="shared" si="68"/>
        <v>#N/A</v>
      </c>
      <c r="M48" s="162" t="e">
        <f t="shared" si="69"/>
        <v>#N/A</v>
      </c>
      <c r="N48" s="162" t="e">
        <f t="shared" si="70"/>
        <v>#N/A</v>
      </c>
      <c r="O48" s="162" t="e">
        <f t="shared" si="71"/>
        <v>#N/A</v>
      </c>
      <c r="P48" s="112" t="e">
        <f t="shared" si="72"/>
        <v>#N/A</v>
      </c>
      <c r="Q48" s="178" t="e">
        <f t="shared" si="116"/>
        <v>#N/A</v>
      </c>
      <c r="R48" s="162" t="e">
        <f t="shared" si="73"/>
        <v>#N/A</v>
      </c>
      <c r="S48" s="162" t="e">
        <f t="shared" si="74"/>
        <v>#N/A</v>
      </c>
      <c r="T48" s="162" t="e">
        <f t="shared" si="75"/>
        <v>#N/A</v>
      </c>
      <c r="U48" s="162" t="e">
        <f t="shared" si="76"/>
        <v>#N/A</v>
      </c>
      <c r="V48" s="112" t="e">
        <f t="shared" si="77"/>
        <v>#N/A</v>
      </c>
      <c r="W48" s="178" t="e">
        <f t="shared" si="117"/>
        <v>#N/A</v>
      </c>
      <c r="X48" s="162" t="e">
        <f t="shared" si="78"/>
        <v>#N/A</v>
      </c>
      <c r="Y48" s="162" t="e">
        <f t="shared" si="79"/>
        <v>#N/A</v>
      </c>
      <c r="Z48" s="162" t="e">
        <f t="shared" si="80"/>
        <v>#N/A</v>
      </c>
      <c r="AA48" s="162" t="e">
        <f t="shared" si="81"/>
        <v>#N/A</v>
      </c>
      <c r="AB48" s="112" t="e">
        <f t="shared" si="82"/>
        <v>#N/A</v>
      </c>
      <c r="AC48" s="178" t="e">
        <f t="shared" si="118"/>
        <v>#N/A</v>
      </c>
      <c r="AD48" s="162" t="e">
        <f t="shared" si="83"/>
        <v>#N/A</v>
      </c>
      <c r="AE48" s="162" t="e">
        <f t="shared" si="84"/>
        <v>#N/A</v>
      </c>
      <c r="AF48" s="162" t="e">
        <f t="shared" si="85"/>
        <v>#N/A</v>
      </c>
      <c r="AG48" s="162" t="e">
        <f t="shared" si="86"/>
        <v>#N/A</v>
      </c>
      <c r="AH48" s="162" t="e">
        <f t="shared" si="87"/>
        <v>#N/A</v>
      </c>
      <c r="AI48" s="35"/>
      <c r="AJ48" s="166" t="s">
        <v>270</v>
      </c>
      <c r="AK48" s="166" t="s">
        <v>270</v>
      </c>
      <c r="AL48" s="166" t="s">
        <v>270</v>
      </c>
      <c r="AM48" s="166" t="s">
        <v>270</v>
      </c>
      <c r="AN48" s="166" t="s">
        <v>270</v>
      </c>
      <c r="AO48" s="166" t="s">
        <v>270</v>
      </c>
      <c r="AP48" s="208" t="s">
        <v>270</v>
      </c>
      <c r="AQ48" s="162" t="e">
        <f t="shared" si="88"/>
        <v>#N/A</v>
      </c>
      <c r="AR48" s="162" t="e">
        <f t="shared" si="119"/>
        <v>#N/A</v>
      </c>
      <c r="AS48" s="162" t="e">
        <f t="shared" si="119"/>
        <v>#N/A</v>
      </c>
      <c r="AT48" s="162" t="e">
        <f t="shared" si="119"/>
        <v>#N/A</v>
      </c>
      <c r="AU48" s="162" t="e">
        <f t="shared" si="119"/>
        <v>#N/A</v>
      </c>
      <c r="AV48" s="208" t="s">
        <v>270</v>
      </c>
      <c r="AW48" s="162" t="e">
        <f t="shared" si="90"/>
        <v>#N/A</v>
      </c>
      <c r="AX48" s="162" t="e">
        <f t="shared" si="120"/>
        <v>#N/A</v>
      </c>
      <c r="AY48" s="162" t="e">
        <f t="shared" si="120"/>
        <v>#N/A</v>
      </c>
      <c r="AZ48" s="162" t="e">
        <f t="shared" si="120"/>
        <v>#N/A</v>
      </c>
      <c r="BA48" s="162" t="e">
        <f t="shared" si="120"/>
        <v>#N/A</v>
      </c>
      <c r="BB48" s="208" t="s">
        <v>270</v>
      </c>
      <c r="BC48" s="162" t="e">
        <f t="shared" si="92"/>
        <v>#N/A</v>
      </c>
      <c r="BD48" s="162" t="e">
        <f t="shared" si="92"/>
        <v>#N/A</v>
      </c>
      <c r="BE48" s="162" t="e">
        <f t="shared" si="92"/>
        <v>#N/A</v>
      </c>
      <c r="BF48" s="162" t="e">
        <f t="shared" si="92"/>
        <v>#N/A</v>
      </c>
      <c r="BG48" s="162" t="e">
        <f t="shared" si="92"/>
        <v>#N/A</v>
      </c>
      <c r="BH48" s="208" t="s">
        <v>270</v>
      </c>
      <c r="BI48" s="162" t="e">
        <f t="shared" si="121"/>
        <v>#N/A</v>
      </c>
      <c r="BJ48" s="162" t="e">
        <f t="shared" si="121"/>
        <v>#N/A</v>
      </c>
      <c r="BK48" s="162" t="e">
        <f t="shared" si="121"/>
        <v>#N/A</v>
      </c>
      <c r="BL48" s="162" t="e">
        <f t="shared" si="121"/>
        <v>#N/A</v>
      </c>
      <c r="BM48" s="162" t="e">
        <f t="shared" si="121"/>
        <v>#N/A</v>
      </c>
      <c r="BO48" s="162" t="e">
        <f t="shared" si="122"/>
        <v>#N/A</v>
      </c>
      <c r="BP48" s="162" t="e">
        <f t="shared" si="123"/>
        <v>#N/A</v>
      </c>
      <c r="BQ48" s="162" t="e">
        <f t="shared" si="124"/>
        <v>#N/A</v>
      </c>
      <c r="BR48" s="162" t="e">
        <f t="shared" si="125"/>
        <v>#N/A</v>
      </c>
      <c r="BS48" s="162" t="e">
        <f t="shared" si="126"/>
        <v>#N/A</v>
      </c>
      <c r="BT48" s="112" t="e">
        <f t="shared" si="127"/>
        <v>#N/A</v>
      </c>
      <c r="BU48" s="178" t="e">
        <f t="shared" si="128"/>
        <v>#N/A</v>
      </c>
      <c r="BV48" s="488" t="e">
        <f t="shared" si="129"/>
        <v>#N/A</v>
      </c>
      <c r="BW48" s="488" t="e">
        <f t="shared" si="95"/>
        <v>#N/A</v>
      </c>
      <c r="BX48" s="488" t="e">
        <f t="shared" si="95"/>
        <v>#N/A</v>
      </c>
      <c r="BY48" s="488" t="e">
        <f t="shared" si="95"/>
        <v>#N/A</v>
      </c>
      <c r="BZ48" s="488" t="e">
        <f t="shared" si="95"/>
        <v>#N/A</v>
      </c>
      <c r="CA48" s="178" t="e">
        <f t="shared" si="130"/>
        <v>#N/A</v>
      </c>
      <c r="CB48" s="488" t="e">
        <f t="shared" si="131"/>
        <v>#N/A</v>
      </c>
      <c r="CC48" s="488" t="e">
        <f t="shared" si="96"/>
        <v>#N/A</v>
      </c>
      <c r="CD48" s="488" t="e">
        <f t="shared" si="97"/>
        <v>#N/A</v>
      </c>
      <c r="CE48" s="488" t="e">
        <f t="shared" si="98"/>
        <v>#N/A</v>
      </c>
      <c r="CF48" s="488" t="e">
        <f t="shared" si="99"/>
        <v>#N/A</v>
      </c>
      <c r="CG48" s="178" t="e">
        <f t="shared" si="132"/>
        <v>#N/A</v>
      </c>
      <c r="CH48" s="488" t="e">
        <f t="shared" si="133"/>
        <v>#N/A</v>
      </c>
      <c r="CI48" s="488" t="e">
        <f t="shared" si="100"/>
        <v>#N/A</v>
      </c>
      <c r="CJ48" s="488" t="e">
        <f t="shared" si="101"/>
        <v>#N/A</v>
      </c>
      <c r="CK48" s="488" t="e">
        <f t="shared" si="102"/>
        <v>#N/A</v>
      </c>
      <c r="CL48" s="488" t="e">
        <f t="shared" si="103"/>
        <v>#N/A</v>
      </c>
      <c r="CM48" s="178" t="e">
        <f t="shared" si="134"/>
        <v>#N/A</v>
      </c>
      <c r="CN48" s="488" t="e">
        <f t="shared" si="135"/>
        <v>#N/A</v>
      </c>
      <c r="CO48" s="488" t="e">
        <f t="shared" si="104"/>
        <v>#N/A</v>
      </c>
      <c r="CP48" s="488" t="e">
        <f t="shared" si="105"/>
        <v>#N/A</v>
      </c>
      <c r="CQ48" s="488" t="e">
        <f t="shared" si="106"/>
        <v>#N/A</v>
      </c>
      <c r="CR48" s="488" t="e">
        <f t="shared" si="107"/>
        <v>#N/A</v>
      </c>
      <c r="CS48" s="35"/>
      <c r="CT48" s="35"/>
      <c r="CU48" s="35"/>
      <c r="CV48" s="35"/>
      <c r="CW48" s="35"/>
    </row>
    <row r="49" spans="1:101" x14ac:dyDescent="0.25">
      <c r="A49" s="319"/>
      <c r="B49" s="152">
        <f t="shared" si="136"/>
        <v>0.5</v>
      </c>
      <c r="C49" s="429" t="e">
        <f t="shared" si="66"/>
        <v>#N/A</v>
      </c>
      <c r="D49" s="550" t="str">
        <f t="shared" si="108"/>
        <v>YES</v>
      </c>
      <c r="E49" s="178" t="e">
        <f t="shared" si="109"/>
        <v>#N/A</v>
      </c>
      <c r="F49" s="162" t="e">
        <f t="shared" si="110"/>
        <v>#N/A</v>
      </c>
      <c r="G49" s="162" t="e">
        <f t="shared" si="111"/>
        <v>#N/A</v>
      </c>
      <c r="H49" s="162" t="e">
        <f t="shared" si="112"/>
        <v>#N/A</v>
      </c>
      <c r="I49" s="162" t="e">
        <f t="shared" si="113"/>
        <v>#N/A</v>
      </c>
      <c r="J49" s="112" t="e">
        <f t="shared" si="114"/>
        <v>#N/A</v>
      </c>
      <c r="K49" s="160" t="e">
        <f t="shared" si="115"/>
        <v>#N/A</v>
      </c>
      <c r="L49" s="162" t="e">
        <f t="shared" si="68"/>
        <v>#N/A</v>
      </c>
      <c r="M49" s="162" t="e">
        <f t="shared" si="69"/>
        <v>#N/A</v>
      </c>
      <c r="N49" s="162" t="e">
        <f t="shared" si="70"/>
        <v>#N/A</v>
      </c>
      <c r="O49" s="162" t="e">
        <f t="shared" si="71"/>
        <v>#N/A</v>
      </c>
      <c r="P49" s="112" t="e">
        <f t="shared" si="72"/>
        <v>#N/A</v>
      </c>
      <c r="Q49" s="178" t="e">
        <f t="shared" si="116"/>
        <v>#N/A</v>
      </c>
      <c r="R49" s="162" t="e">
        <f t="shared" si="73"/>
        <v>#N/A</v>
      </c>
      <c r="S49" s="162" t="e">
        <f t="shared" si="74"/>
        <v>#N/A</v>
      </c>
      <c r="T49" s="162" t="e">
        <f t="shared" si="75"/>
        <v>#N/A</v>
      </c>
      <c r="U49" s="162" t="e">
        <f t="shared" si="76"/>
        <v>#N/A</v>
      </c>
      <c r="V49" s="112" t="e">
        <f t="shared" si="77"/>
        <v>#N/A</v>
      </c>
      <c r="W49" s="178" t="e">
        <f t="shared" si="117"/>
        <v>#N/A</v>
      </c>
      <c r="X49" s="162" t="e">
        <f t="shared" si="78"/>
        <v>#N/A</v>
      </c>
      <c r="Y49" s="162" t="e">
        <f t="shared" si="79"/>
        <v>#N/A</v>
      </c>
      <c r="Z49" s="162" t="e">
        <f t="shared" si="80"/>
        <v>#N/A</v>
      </c>
      <c r="AA49" s="162" t="e">
        <f t="shared" si="81"/>
        <v>#N/A</v>
      </c>
      <c r="AB49" s="112" t="e">
        <f t="shared" si="82"/>
        <v>#N/A</v>
      </c>
      <c r="AC49" s="178" t="e">
        <f t="shared" si="118"/>
        <v>#N/A</v>
      </c>
      <c r="AD49" s="162" t="e">
        <f t="shared" si="83"/>
        <v>#N/A</v>
      </c>
      <c r="AE49" s="162" t="e">
        <f t="shared" si="84"/>
        <v>#N/A</v>
      </c>
      <c r="AF49" s="162" t="e">
        <f t="shared" si="85"/>
        <v>#N/A</v>
      </c>
      <c r="AG49" s="162" t="e">
        <f t="shared" si="86"/>
        <v>#N/A</v>
      </c>
      <c r="AH49" s="162" t="e">
        <f t="shared" si="87"/>
        <v>#N/A</v>
      </c>
      <c r="AI49" s="35"/>
      <c r="AJ49" s="166" t="s">
        <v>270</v>
      </c>
      <c r="AK49" s="166" t="s">
        <v>270</v>
      </c>
      <c r="AL49" s="166" t="s">
        <v>270</v>
      </c>
      <c r="AM49" s="166" t="s">
        <v>270</v>
      </c>
      <c r="AN49" s="166" t="s">
        <v>270</v>
      </c>
      <c r="AO49" s="166" t="s">
        <v>270</v>
      </c>
      <c r="AP49" s="208" t="s">
        <v>270</v>
      </c>
      <c r="AQ49" s="162" t="e">
        <f t="shared" si="88"/>
        <v>#N/A</v>
      </c>
      <c r="AR49" s="162" t="e">
        <f t="shared" si="119"/>
        <v>#N/A</v>
      </c>
      <c r="AS49" s="162" t="e">
        <f t="shared" si="119"/>
        <v>#N/A</v>
      </c>
      <c r="AT49" s="162" t="e">
        <f t="shared" si="119"/>
        <v>#N/A</v>
      </c>
      <c r="AU49" s="162" t="e">
        <f t="shared" si="119"/>
        <v>#N/A</v>
      </c>
      <c r="AV49" s="208" t="s">
        <v>270</v>
      </c>
      <c r="AW49" s="162" t="e">
        <f t="shared" si="90"/>
        <v>#N/A</v>
      </c>
      <c r="AX49" s="162" t="e">
        <f t="shared" si="120"/>
        <v>#N/A</v>
      </c>
      <c r="AY49" s="162" t="e">
        <f t="shared" si="120"/>
        <v>#N/A</v>
      </c>
      <c r="AZ49" s="162" t="e">
        <f t="shared" si="120"/>
        <v>#N/A</v>
      </c>
      <c r="BA49" s="162" t="e">
        <f t="shared" si="120"/>
        <v>#N/A</v>
      </c>
      <c r="BB49" s="208" t="s">
        <v>270</v>
      </c>
      <c r="BC49" s="162" t="e">
        <f t="shared" si="92"/>
        <v>#N/A</v>
      </c>
      <c r="BD49" s="162" t="e">
        <f t="shared" si="92"/>
        <v>#N/A</v>
      </c>
      <c r="BE49" s="162" t="e">
        <f t="shared" si="92"/>
        <v>#N/A</v>
      </c>
      <c r="BF49" s="162" t="e">
        <f t="shared" si="92"/>
        <v>#N/A</v>
      </c>
      <c r="BG49" s="162" t="e">
        <f t="shared" si="92"/>
        <v>#N/A</v>
      </c>
      <c r="BH49" s="208" t="s">
        <v>270</v>
      </c>
      <c r="BI49" s="162" t="e">
        <f t="shared" si="121"/>
        <v>#N/A</v>
      </c>
      <c r="BJ49" s="162" t="e">
        <f t="shared" si="121"/>
        <v>#N/A</v>
      </c>
      <c r="BK49" s="162" t="e">
        <f t="shared" si="121"/>
        <v>#N/A</v>
      </c>
      <c r="BL49" s="162" t="e">
        <f t="shared" si="121"/>
        <v>#N/A</v>
      </c>
      <c r="BM49" s="162" t="e">
        <f t="shared" si="121"/>
        <v>#N/A</v>
      </c>
      <c r="BO49" s="162" t="e">
        <f t="shared" si="122"/>
        <v>#N/A</v>
      </c>
      <c r="BP49" s="162" t="e">
        <f t="shared" si="123"/>
        <v>#N/A</v>
      </c>
      <c r="BQ49" s="162" t="e">
        <f t="shared" si="124"/>
        <v>#N/A</v>
      </c>
      <c r="BR49" s="162" t="e">
        <f t="shared" si="125"/>
        <v>#N/A</v>
      </c>
      <c r="BS49" s="162" t="e">
        <f t="shared" si="126"/>
        <v>#N/A</v>
      </c>
      <c r="BT49" s="112" t="e">
        <f t="shared" si="127"/>
        <v>#N/A</v>
      </c>
      <c r="BU49" s="178" t="e">
        <f t="shared" si="128"/>
        <v>#N/A</v>
      </c>
      <c r="BV49" s="488" t="e">
        <f t="shared" si="129"/>
        <v>#N/A</v>
      </c>
      <c r="BW49" s="488" t="e">
        <f t="shared" si="95"/>
        <v>#N/A</v>
      </c>
      <c r="BX49" s="488" t="e">
        <f t="shared" si="95"/>
        <v>#N/A</v>
      </c>
      <c r="BY49" s="488" t="e">
        <f t="shared" si="95"/>
        <v>#N/A</v>
      </c>
      <c r="BZ49" s="488" t="e">
        <f t="shared" si="95"/>
        <v>#N/A</v>
      </c>
      <c r="CA49" s="178" t="e">
        <f t="shared" si="130"/>
        <v>#N/A</v>
      </c>
      <c r="CB49" s="488" t="e">
        <f t="shared" si="131"/>
        <v>#N/A</v>
      </c>
      <c r="CC49" s="488" t="e">
        <f t="shared" si="96"/>
        <v>#N/A</v>
      </c>
      <c r="CD49" s="488" t="e">
        <f t="shared" si="97"/>
        <v>#N/A</v>
      </c>
      <c r="CE49" s="488" t="e">
        <f t="shared" si="98"/>
        <v>#N/A</v>
      </c>
      <c r="CF49" s="488" t="e">
        <f t="shared" si="99"/>
        <v>#N/A</v>
      </c>
      <c r="CG49" s="178" t="e">
        <f t="shared" si="132"/>
        <v>#N/A</v>
      </c>
      <c r="CH49" s="488" t="e">
        <f t="shared" si="133"/>
        <v>#N/A</v>
      </c>
      <c r="CI49" s="488" t="e">
        <f t="shared" si="100"/>
        <v>#N/A</v>
      </c>
      <c r="CJ49" s="488" t="e">
        <f t="shared" si="101"/>
        <v>#N/A</v>
      </c>
      <c r="CK49" s="488" t="e">
        <f t="shared" si="102"/>
        <v>#N/A</v>
      </c>
      <c r="CL49" s="488" t="e">
        <f t="shared" si="103"/>
        <v>#N/A</v>
      </c>
      <c r="CM49" s="178" t="e">
        <f t="shared" si="134"/>
        <v>#N/A</v>
      </c>
      <c r="CN49" s="488" t="e">
        <f t="shared" si="135"/>
        <v>#N/A</v>
      </c>
      <c r="CO49" s="488" t="e">
        <f t="shared" si="104"/>
        <v>#N/A</v>
      </c>
      <c r="CP49" s="488" t="e">
        <f t="shared" si="105"/>
        <v>#N/A</v>
      </c>
      <c r="CQ49" s="488" t="e">
        <f t="shared" si="106"/>
        <v>#N/A</v>
      </c>
      <c r="CR49" s="488" t="e">
        <f t="shared" si="107"/>
        <v>#N/A</v>
      </c>
      <c r="CS49" s="35"/>
      <c r="CT49" s="35"/>
      <c r="CU49" s="35"/>
      <c r="CV49" s="35"/>
      <c r="CW49" s="35"/>
    </row>
    <row r="50" spans="1:101" x14ac:dyDescent="0.25">
      <c r="A50" s="319"/>
      <c r="B50" s="152">
        <f t="shared" si="136"/>
        <v>0.54166666666666663</v>
      </c>
      <c r="C50" s="429" t="e">
        <f t="shared" si="66"/>
        <v>#N/A</v>
      </c>
      <c r="D50" s="550" t="str">
        <f t="shared" si="108"/>
        <v>YES</v>
      </c>
      <c r="E50" s="178" t="e">
        <f t="shared" si="109"/>
        <v>#N/A</v>
      </c>
      <c r="F50" s="162" t="e">
        <f t="shared" si="110"/>
        <v>#N/A</v>
      </c>
      <c r="G50" s="162" t="e">
        <f t="shared" si="111"/>
        <v>#N/A</v>
      </c>
      <c r="H50" s="162" t="e">
        <f t="shared" si="112"/>
        <v>#N/A</v>
      </c>
      <c r="I50" s="162" t="e">
        <f t="shared" si="113"/>
        <v>#N/A</v>
      </c>
      <c r="J50" s="112" t="e">
        <f t="shared" si="114"/>
        <v>#N/A</v>
      </c>
      <c r="K50" s="160" t="e">
        <f t="shared" si="115"/>
        <v>#N/A</v>
      </c>
      <c r="L50" s="162" t="e">
        <f t="shared" si="68"/>
        <v>#N/A</v>
      </c>
      <c r="M50" s="162" t="e">
        <f t="shared" si="69"/>
        <v>#N/A</v>
      </c>
      <c r="N50" s="162" t="e">
        <f t="shared" si="70"/>
        <v>#N/A</v>
      </c>
      <c r="O50" s="162" t="e">
        <f t="shared" si="71"/>
        <v>#N/A</v>
      </c>
      <c r="P50" s="112" t="e">
        <f t="shared" si="72"/>
        <v>#N/A</v>
      </c>
      <c r="Q50" s="178" t="e">
        <f t="shared" si="116"/>
        <v>#N/A</v>
      </c>
      <c r="R50" s="162" t="e">
        <f t="shared" si="73"/>
        <v>#N/A</v>
      </c>
      <c r="S50" s="162" t="e">
        <f t="shared" si="74"/>
        <v>#N/A</v>
      </c>
      <c r="T50" s="162" t="e">
        <f t="shared" si="75"/>
        <v>#N/A</v>
      </c>
      <c r="U50" s="162" t="e">
        <f t="shared" si="76"/>
        <v>#N/A</v>
      </c>
      <c r="V50" s="112" t="e">
        <f t="shared" si="77"/>
        <v>#N/A</v>
      </c>
      <c r="W50" s="178" t="e">
        <f t="shared" si="117"/>
        <v>#N/A</v>
      </c>
      <c r="X50" s="162" t="e">
        <f t="shared" si="78"/>
        <v>#N/A</v>
      </c>
      <c r="Y50" s="162" t="e">
        <f t="shared" si="79"/>
        <v>#N/A</v>
      </c>
      <c r="Z50" s="162" t="e">
        <f t="shared" si="80"/>
        <v>#N/A</v>
      </c>
      <c r="AA50" s="162" t="e">
        <f t="shared" si="81"/>
        <v>#N/A</v>
      </c>
      <c r="AB50" s="112" t="e">
        <f t="shared" si="82"/>
        <v>#N/A</v>
      </c>
      <c r="AC50" s="178" t="e">
        <f t="shared" si="118"/>
        <v>#N/A</v>
      </c>
      <c r="AD50" s="162" t="e">
        <f t="shared" si="83"/>
        <v>#N/A</v>
      </c>
      <c r="AE50" s="162" t="e">
        <f t="shared" si="84"/>
        <v>#N/A</v>
      </c>
      <c r="AF50" s="162" t="e">
        <f t="shared" si="85"/>
        <v>#N/A</v>
      </c>
      <c r="AG50" s="162" t="e">
        <f t="shared" si="86"/>
        <v>#N/A</v>
      </c>
      <c r="AH50" s="162" t="e">
        <f t="shared" si="87"/>
        <v>#N/A</v>
      </c>
      <c r="AI50" s="35"/>
      <c r="AJ50" s="166" t="s">
        <v>270</v>
      </c>
      <c r="AK50" s="166" t="s">
        <v>270</v>
      </c>
      <c r="AL50" s="166" t="s">
        <v>270</v>
      </c>
      <c r="AM50" s="166" t="s">
        <v>270</v>
      </c>
      <c r="AN50" s="166" t="s">
        <v>270</v>
      </c>
      <c r="AO50" s="166" t="s">
        <v>270</v>
      </c>
      <c r="AP50" s="208" t="s">
        <v>270</v>
      </c>
      <c r="AQ50" s="162" t="e">
        <f t="shared" si="88"/>
        <v>#N/A</v>
      </c>
      <c r="AR50" s="162" t="e">
        <f t="shared" si="119"/>
        <v>#N/A</v>
      </c>
      <c r="AS50" s="162" t="e">
        <f t="shared" si="119"/>
        <v>#N/A</v>
      </c>
      <c r="AT50" s="162" t="e">
        <f t="shared" si="119"/>
        <v>#N/A</v>
      </c>
      <c r="AU50" s="162" t="e">
        <f t="shared" si="119"/>
        <v>#N/A</v>
      </c>
      <c r="AV50" s="208" t="s">
        <v>270</v>
      </c>
      <c r="AW50" s="162" t="e">
        <f t="shared" si="90"/>
        <v>#N/A</v>
      </c>
      <c r="AX50" s="162" t="e">
        <f t="shared" si="120"/>
        <v>#N/A</v>
      </c>
      <c r="AY50" s="162" t="e">
        <f t="shared" si="120"/>
        <v>#N/A</v>
      </c>
      <c r="AZ50" s="162" t="e">
        <f t="shared" si="120"/>
        <v>#N/A</v>
      </c>
      <c r="BA50" s="162" t="e">
        <f t="shared" si="120"/>
        <v>#N/A</v>
      </c>
      <c r="BB50" s="208" t="s">
        <v>270</v>
      </c>
      <c r="BC50" s="162" t="e">
        <f t="shared" si="92"/>
        <v>#N/A</v>
      </c>
      <c r="BD50" s="162" t="e">
        <f t="shared" si="92"/>
        <v>#N/A</v>
      </c>
      <c r="BE50" s="162" t="e">
        <f t="shared" si="92"/>
        <v>#N/A</v>
      </c>
      <c r="BF50" s="162" t="e">
        <f t="shared" si="92"/>
        <v>#N/A</v>
      </c>
      <c r="BG50" s="162" t="e">
        <f t="shared" si="92"/>
        <v>#N/A</v>
      </c>
      <c r="BH50" s="208" t="s">
        <v>270</v>
      </c>
      <c r="BI50" s="162" t="e">
        <f t="shared" si="121"/>
        <v>#N/A</v>
      </c>
      <c r="BJ50" s="162" t="e">
        <f t="shared" si="121"/>
        <v>#N/A</v>
      </c>
      <c r="BK50" s="162" t="e">
        <f t="shared" si="121"/>
        <v>#N/A</v>
      </c>
      <c r="BL50" s="162" t="e">
        <f t="shared" si="121"/>
        <v>#N/A</v>
      </c>
      <c r="BM50" s="162" t="e">
        <f t="shared" si="121"/>
        <v>#N/A</v>
      </c>
      <c r="BO50" s="162" t="e">
        <f t="shared" si="122"/>
        <v>#N/A</v>
      </c>
      <c r="BP50" s="162" t="e">
        <f t="shared" si="123"/>
        <v>#N/A</v>
      </c>
      <c r="BQ50" s="162" t="e">
        <f t="shared" si="124"/>
        <v>#N/A</v>
      </c>
      <c r="BR50" s="162" t="e">
        <f t="shared" si="125"/>
        <v>#N/A</v>
      </c>
      <c r="BS50" s="162" t="e">
        <f t="shared" si="126"/>
        <v>#N/A</v>
      </c>
      <c r="BT50" s="112" t="e">
        <f t="shared" si="127"/>
        <v>#N/A</v>
      </c>
      <c r="BU50" s="178" t="e">
        <f t="shared" si="128"/>
        <v>#N/A</v>
      </c>
      <c r="BV50" s="488" t="e">
        <f t="shared" si="129"/>
        <v>#N/A</v>
      </c>
      <c r="BW50" s="488" t="e">
        <f t="shared" si="95"/>
        <v>#N/A</v>
      </c>
      <c r="BX50" s="488" t="e">
        <f t="shared" si="95"/>
        <v>#N/A</v>
      </c>
      <c r="BY50" s="488" t="e">
        <f t="shared" si="95"/>
        <v>#N/A</v>
      </c>
      <c r="BZ50" s="488" t="e">
        <f t="shared" si="95"/>
        <v>#N/A</v>
      </c>
      <c r="CA50" s="178" t="e">
        <f t="shared" si="130"/>
        <v>#N/A</v>
      </c>
      <c r="CB50" s="488" t="e">
        <f t="shared" si="131"/>
        <v>#N/A</v>
      </c>
      <c r="CC50" s="488" t="e">
        <f t="shared" si="96"/>
        <v>#N/A</v>
      </c>
      <c r="CD50" s="488" t="e">
        <f t="shared" si="97"/>
        <v>#N/A</v>
      </c>
      <c r="CE50" s="488" t="e">
        <f t="shared" si="98"/>
        <v>#N/A</v>
      </c>
      <c r="CF50" s="488" t="e">
        <f t="shared" si="99"/>
        <v>#N/A</v>
      </c>
      <c r="CG50" s="178" t="e">
        <f t="shared" si="132"/>
        <v>#N/A</v>
      </c>
      <c r="CH50" s="488" t="e">
        <f t="shared" si="133"/>
        <v>#N/A</v>
      </c>
      <c r="CI50" s="488" t="e">
        <f t="shared" si="100"/>
        <v>#N/A</v>
      </c>
      <c r="CJ50" s="488" t="e">
        <f t="shared" si="101"/>
        <v>#N/A</v>
      </c>
      <c r="CK50" s="488" t="e">
        <f t="shared" si="102"/>
        <v>#N/A</v>
      </c>
      <c r="CL50" s="488" t="e">
        <f t="shared" si="103"/>
        <v>#N/A</v>
      </c>
      <c r="CM50" s="178" t="e">
        <f t="shared" si="134"/>
        <v>#N/A</v>
      </c>
      <c r="CN50" s="488" t="e">
        <f t="shared" si="135"/>
        <v>#N/A</v>
      </c>
      <c r="CO50" s="488" t="e">
        <f t="shared" si="104"/>
        <v>#N/A</v>
      </c>
      <c r="CP50" s="488" t="e">
        <f t="shared" si="105"/>
        <v>#N/A</v>
      </c>
      <c r="CQ50" s="488" t="e">
        <f t="shared" si="106"/>
        <v>#N/A</v>
      </c>
      <c r="CR50" s="488" t="e">
        <f t="shared" si="107"/>
        <v>#N/A</v>
      </c>
      <c r="CS50" s="35"/>
      <c r="CT50" s="35"/>
      <c r="CU50" s="35"/>
      <c r="CV50" s="35"/>
      <c r="CW50" s="35"/>
    </row>
    <row r="51" spans="1:101" x14ac:dyDescent="0.25">
      <c r="A51" s="319"/>
      <c r="B51" s="152">
        <f t="shared" si="136"/>
        <v>0.58333333333333326</v>
      </c>
      <c r="C51" s="429" t="e">
        <f t="shared" si="66"/>
        <v>#N/A</v>
      </c>
      <c r="D51" s="550" t="str">
        <f t="shared" si="108"/>
        <v>YES</v>
      </c>
      <c r="E51" s="178" t="e">
        <f t="shared" si="109"/>
        <v>#N/A</v>
      </c>
      <c r="F51" s="162" t="e">
        <f t="shared" si="110"/>
        <v>#N/A</v>
      </c>
      <c r="G51" s="162" t="e">
        <f t="shared" si="111"/>
        <v>#N/A</v>
      </c>
      <c r="H51" s="162" t="e">
        <f t="shared" si="112"/>
        <v>#N/A</v>
      </c>
      <c r="I51" s="162" t="e">
        <f t="shared" si="113"/>
        <v>#N/A</v>
      </c>
      <c r="J51" s="112" t="e">
        <f t="shared" si="114"/>
        <v>#N/A</v>
      </c>
      <c r="K51" s="160" t="e">
        <f t="shared" si="115"/>
        <v>#N/A</v>
      </c>
      <c r="L51" s="162" t="e">
        <f t="shared" si="68"/>
        <v>#N/A</v>
      </c>
      <c r="M51" s="162" t="e">
        <f t="shared" si="69"/>
        <v>#N/A</v>
      </c>
      <c r="N51" s="162" t="e">
        <f t="shared" si="70"/>
        <v>#N/A</v>
      </c>
      <c r="O51" s="162" t="e">
        <f t="shared" si="71"/>
        <v>#N/A</v>
      </c>
      <c r="P51" s="112" t="e">
        <f t="shared" si="72"/>
        <v>#N/A</v>
      </c>
      <c r="Q51" s="178" t="e">
        <f t="shared" si="116"/>
        <v>#N/A</v>
      </c>
      <c r="R51" s="162" t="e">
        <f t="shared" si="73"/>
        <v>#N/A</v>
      </c>
      <c r="S51" s="162" t="e">
        <f t="shared" si="74"/>
        <v>#N/A</v>
      </c>
      <c r="T51" s="162" t="e">
        <f t="shared" si="75"/>
        <v>#N/A</v>
      </c>
      <c r="U51" s="162" t="e">
        <f t="shared" si="76"/>
        <v>#N/A</v>
      </c>
      <c r="V51" s="112" t="e">
        <f t="shared" si="77"/>
        <v>#N/A</v>
      </c>
      <c r="W51" s="178" t="e">
        <f t="shared" si="117"/>
        <v>#N/A</v>
      </c>
      <c r="X51" s="162" t="e">
        <f t="shared" si="78"/>
        <v>#N/A</v>
      </c>
      <c r="Y51" s="162" t="e">
        <f t="shared" si="79"/>
        <v>#N/A</v>
      </c>
      <c r="Z51" s="162" t="e">
        <f t="shared" si="80"/>
        <v>#N/A</v>
      </c>
      <c r="AA51" s="162" t="e">
        <f t="shared" si="81"/>
        <v>#N/A</v>
      </c>
      <c r="AB51" s="112" t="e">
        <f t="shared" si="82"/>
        <v>#N/A</v>
      </c>
      <c r="AC51" s="178" t="e">
        <f t="shared" si="118"/>
        <v>#N/A</v>
      </c>
      <c r="AD51" s="162" t="e">
        <f t="shared" si="83"/>
        <v>#N/A</v>
      </c>
      <c r="AE51" s="162" t="e">
        <f t="shared" si="84"/>
        <v>#N/A</v>
      </c>
      <c r="AF51" s="162" t="e">
        <f t="shared" si="85"/>
        <v>#N/A</v>
      </c>
      <c r="AG51" s="162" t="e">
        <f t="shared" si="86"/>
        <v>#N/A</v>
      </c>
      <c r="AH51" s="162" t="e">
        <f t="shared" si="87"/>
        <v>#N/A</v>
      </c>
      <c r="AI51" s="35"/>
      <c r="AJ51" s="166" t="s">
        <v>270</v>
      </c>
      <c r="AK51" s="166" t="s">
        <v>270</v>
      </c>
      <c r="AL51" s="166" t="s">
        <v>270</v>
      </c>
      <c r="AM51" s="166" t="s">
        <v>270</v>
      </c>
      <c r="AN51" s="166" t="s">
        <v>270</v>
      </c>
      <c r="AO51" s="166" t="s">
        <v>270</v>
      </c>
      <c r="AP51" s="208" t="s">
        <v>270</v>
      </c>
      <c r="AQ51" s="162" t="e">
        <f t="shared" si="88"/>
        <v>#N/A</v>
      </c>
      <c r="AR51" s="162" t="e">
        <f t="shared" si="119"/>
        <v>#N/A</v>
      </c>
      <c r="AS51" s="162" t="e">
        <f t="shared" si="119"/>
        <v>#N/A</v>
      </c>
      <c r="AT51" s="162" t="e">
        <f t="shared" si="119"/>
        <v>#N/A</v>
      </c>
      <c r="AU51" s="162" t="e">
        <f t="shared" si="119"/>
        <v>#N/A</v>
      </c>
      <c r="AV51" s="208" t="s">
        <v>270</v>
      </c>
      <c r="AW51" s="162" t="e">
        <f t="shared" si="90"/>
        <v>#N/A</v>
      </c>
      <c r="AX51" s="162" t="e">
        <f t="shared" si="120"/>
        <v>#N/A</v>
      </c>
      <c r="AY51" s="162" t="e">
        <f t="shared" si="120"/>
        <v>#N/A</v>
      </c>
      <c r="AZ51" s="162" t="e">
        <f t="shared" si="120"/>
        <v>#N/A</v>
      </c>
      <c r="BA51" s="162" t="e">
        <f t="shared" si="120"/>
        <v>#N/A</v>
      </c>
      <c r="BB51" s="208" t="s">
        <v>270</v>
      </c>
      <c r="BC51" s="162" t="e">
        <f t="shared" si="92"/>
        <v>#N/A</v>
      </c>
      <c r="BD51" s="162" t="e">
        <f t="shared" si="92"/>
        <v>#N/A</v>
      </c>
      <c r="BE51" s="162" t="e">
        <f t="shared" si="92"/>
        <v>#N/A</v>
      </c>
      <c r="BF51" s="162" t="e">
        <f t="shared" si="92"/>
        <v>#N/A</v>
      </c>
      <c r="BG51" s="162" t="e">
        <f t="shared" si="92"/>
        <v>#N/A</v>
      </c>
      <c r="BH51" s="208" t="s">
        <v>270</v>
      </c>
      <c r="BI51" s="162" t="e">
        <f t="shared" si="121"/>
        <v>#N/A</v>
      </c>
      <c r="BJ51" s="162" t="e">
        <f t="shared" si="121"/>
        <v>#N/A</v>
      </c>
      <c r="BK51" s="162" t="e">
        <f t="shared" si="121"/>
        <v>#N/A</v>
      </c>
      <c r="BL51" s="162" t="e">
        <f t="shared" si="121"/>
        <v>#N/A</v>
      </c>
      <c r="BM51" s="162" t="e">
        <f t="shared" si="121"/>
        <v>#N/A</v>
      </c>
      <c r="BO51" s="162" t="e">
        <f t="shared" si="122"/>
        <v>#N/A</v>
      </c>
      <c r="BP51" s="162" t="e">
        <f t="shared" si="123"/>
        <v>#N/A</v>
      </c>
      <c r="BQ51" s="162" t="e">
        <f t="shared" si="124"/>
        <v>#N/A</v>
      </c>
      <c r="BR51" s="162" t="e">
        <f t="shared" si="125"/>
        <v>#N/A</v>
      </c>
      <c r="BS51" s="162" t="e">
        <f t="shared" si="126"/>
        <v>#N/A</v>
      </c>
      <c r="BT51" s="112" t="e">
        <f t="shared" si="127"/>
        <v>#N/A</v>
      </c>
      <c r="BU51" s="178" t="e">
        <f t="shared" si="128"/>
        <v>#N/A</v>
      </c>
      <c r="BV51" s="488" t="e">
        <f t="shared" si="129"/>
        <v>#N/A</v>
      </c>
      <c r="BW51" s="488" t="e">
        <f t="shared" si="95"/>
        <v>#N/A</v>
      </c>
      <c r="BX51" s="488" t="e">
        <f t="shared" si="95"/>
        <v>#N/A</v>
      </c>
      <c r="BY51" s="488" t="e">
        <f t="shared" si="95"/>
        <v>#N/A</v>
      </c>
      <c r="BZ51" s="488" t="e">
        <f t="shared" si="95"/>
        <v>#N/A</v>
      </c>
      <c r="CA51" s="178" t="e">
        <f t="shared" si="130"/>
        <v>#N/A</v>
      </c>
      <c r="CB51" s="488" t="e">
        <f t="shared" si="131"/>
        <v>#N/A</v>
      </c>
      <c r="CC51" s="488" t="e">
        <f t="shared" si="96"/>
        <v>#N/A</v>
      </c>
      <c r="CD51" s="488" t="e">
        <f t="shared" si="97"/>
        <v>#N/A</v>
      </c>
      <c r="CE51" s="488" t="e">
        <f t="shared" si="98"/>
        <v>#N/A</v>
      </c>
      <c r="CF51" s="488" t="e">
        <f t="shared" si="99"/>
        <v>#N/A</v>
      </c>
      <c r="CG51" s="178" t="e">
        <f t="shared" si="132"/>
        <v>#N/A</v>
      </c>
      <c r="CH51" s="488" t="e">
        <f t="shared" si="133"/>
        <v>#N/A</v>
      </c>
      <c r="CI51" s="488" t="e">
        <f t="shared" si="100"/>
        <v>#N/A</v>
      </c>
      <c r="CJ51" s="488" t="e">
        <f t="shared" si="101"/>
        <v>#N/A</v>
      </c>
      <c r="CK51" s="488" t="e">
        <f t="shared" si="102"/>
        <v>#N/A</v>
      </c>
      <c r="CL51" s="488" t="e">
        <f t="shared" si="103"/>
        <v>#N/A</v>
      </c>
      <c r="CM51" s="178" t="e">
        <f t="shared" si="134"/>
        <v>#N/A</v>
      </c>
      <c r="CN51" s="488" t="e">
        <f t="shared" si="135"/>
        <v>#N/A</v>
      </c>
      <c r="CO51" s="488" t="e">
        <f t="shared" si="104"/>
        <v>#N/A</v>
      </c>
      <c r="CP51" s="488" t="e">
        <f t="shared" si="105"/>
        <v>#N/A</v>
      </c>
      <c r="CQ51" s="488" t="e">
        <f t="shared" si="106"/>
        <v>#N/A</v>
      </c>
      <c r="CR51" s="488" t="e">
        <f t="shared" si="107"/>
        <v>#N/A</v>
      </c>
      <c r="CS51" s="35"/>
      <c r="CT51" s="35"/>
      <c r="CU51" s="35"/>
      <c r="CV51" s="35"/>
      <c r="CW51" s="35"/>
    </row>
    <row r="52" spans="1:101" x14ac:dyDescent="0.25">
      <c r="A52" s="319"/>
      <c r="B52" s="152">
        <f t="shared" si="136"/>
        <v>0.62499999999999989</v>
      </c>
      <c r="C52" s="429" t="e">
        <f t="shared" si="66"/>
        <v>#N/A</v>
      </c>
      <c r="D52" s="550" t="str">
        <f t="shared" si="108"/>
        <v>YES</v>
      </c>
      <c r="E52" s="178" t="e">
        <f t="shared" si="109"/>
        <v>#N/A</v>
      </c>
      <c r="F52" s="162" t="e">
        <f t="shared" si="110"/>
        <v>#N/A</v>
      </c>
      <c r="G52" s="162" t="e">
        <f t="shared" si="111"/>
        <v>#N/A</v>
      </c>
      <c r="H52" s="162" t="e">
        <f t="shared" si="112"/>
        <v>#N/A</v>
      </c>
      <c r="I52" s="162" t="e">
        <f t="shared" si="113"/>
        <v>#N/A</v>
      </c>
      <c r="J52" s="112" t="e">
        <f t="shared" si="114"/>
        <v>#N/A</v>
      </c>
      <c r="K52" s="160" t="e">
        <f t="shared" si="115"/>
        <v>#N/A</v>
      </c>
      <c r="L52" s="162" t="e">
        <f t="shared" si="68"/>
        <v>#N/A</v>
      </c>
      <c r="M52" s="162" t="e">
        <f t="shared" si="69"/>
        <v>#N/A</v>
      </c>
      <c r="N52" s="162" t="e">
        <f t="shared" si="70"/>
        <v>#N/A</v>
      </c>
      <c r="O52" s="162" t="e">
        <f t="shared" si="71"/>
        <v>#N/A</v>
      </c>
      <c r="P52" s="112" t="e">
        <f t="shared" si="72"/>
        <v>#N/A</v>
      </c>
      <c r="Q52" s="178" t="e">
        <f t="shared" si="116"/>
        <v>#N/A</v>
      </c>
      <c r="R52" s="162" t="e">
        <f t="shared" si="73"/>
        <v>#N/A</v>
      </c>
      <c r="S52" s="162" t="e">
        <f t="shared" si="74"/>
        <v>#N/A</v>
      </c>
      <c r="T52" s="162" t="e">
        <f t="shared" si="75"/>
        <v>#N/A</v>
      </c>
      <c r="U52" s="162" t="e">
        <f t="shared" si="76"/>
        <v>#N/A</v>
      </c>
      <c r="V52" s="112" t="e">
        <f t="shared" si="77"/>
        <v>#N/A</v>
      </c>
      <c r="W52" s="178" t="e">
        <f t="shared" si="117"/>
        <v>#N/A</v>
      </c>
      <c r="X52" s="162" t="e">
        <f t="shared" si="78"/>
        <v>#N/A</v>
      </c>
      <c r="Y52" s="162" t="e">
        <f t="shared" si="79"/>
        <v>#N/A</v>
      </c>
      <c r="Z52" s="162" t="e">
        <f t="shared" si="80"/>
        <v>#N/A</v>
      </c>
      <c r="AA52" s="162" t="e">
        <f t="shared" si="81"/>
        <v>#N/A</v>
      </c>
      <c r="AB52" s="112" t="e">
        <f t="shared" si="82"/>
        <v>#N/A</v>
      </c>
      <c r="AC52" s="178" t="e">
        <f t="shared" si="118"/>
        <v>#N/A</v>
      </c>
      <c r="AD52" s="162" t="e">
        <f t="shared" si="83"/>
        <v>#N/A</v>
      </c>
      <c r="AE52" s="162" t="e">
        <f t="shared" si="84"/>
        <v>#N/A</v>
      </c>
      <c r="AF52" s="162" t="e">
        <f t="shared" si="85"/>
        <v>#N/A</v>
      </c>
      <c r="AG52" s="162" t="e">
        <f t="shared" si="86"/>
        <v>#N/A</v>
      </c>
      <c r="AH52" s="162" t="e">
        <f t="shared" si="87"/>
        <v>#N/A</v>
      </c>
      <c r="AI52" s="35"/>
      <c r="AJ52" s="166" t="s">
        <v>270</v>
      </c>
      <c r="AK52" s="166" t="s">
        <v>270</v>
      </c>
      <c r="AL52" s="166" t="s">
        <v>270</v>
      </c>
      <c r="AM52" s="166" t="s">
        <v>270</v>
      </c>
      <c r="AN52" s="166" t="s">
        <v>270</v>
      </c>
      <c r="AO52" s="166" t="s">
        <v>270</v>
      </c>
      <c r="AP52" s="208" t="s">
        <v>270</v>
      </c>
      <c r="AQ52" s="162" t="e">
        <f t="shared" si="88"/>
        <v>#N/A</v>
      </c>
      <c r="AR52" s="162" t="e">
        <f t="shared" si="119"/>
        <v>#N/A</v>
      </c>
      <c r="AS52" s="162" t="e">
        <f t="shared" si="119"/>
        <v>#N/A</v>
      </c>
      <c r="AT52" s="162" t="e">
        <f t="shared" si="119"/>
        <v>#N/A</v>
      </c>
      <c r="AU52" s="162" t="e">
        <f t="shared" si="119"/>
        <v>#N/A</v>
      </c>
      <c r="AV52" s="208" t="s">
        <v>270</v>
      </c>
      <c r="AW52" s="162" t="e">
        <f t="shared" si="90"/>
        <v>#N/A</v>
      </c>
      <c r="AX52" s="162" t="e">
        <f t="shared" si="120"/>
        <v>#N/A</v>
      </c>
      <c r="AY52" s="162" t="e">
        <f t="shared" si="120"/>
        <v>#N/A</v>
      </c>
      <c r="AZ52" s="162" t="e">
        <f t="shared" si="120"/>
        <v>#N/A</v>
      </c>
      <c r="BA52" s="162" t="e">
        <f t="shared" si="120"/>
        <v>#N/A</v>
      </c>
      <c r="BB52" s="208" t="s">
        <v>270</v>
      </c>
      <c r="BC52" s="162" t="e">
        <f t="shared" si="92"/>
        <v>#N/A</v>
      </c>
      <c r="BD52" s="162" t="e">
        <f t="shared" si="92"/>
        <v>#N/A</v>
      </c>
      <c r="BE52" s="162" t="e">
        <f t="shared" si="92"/>
        <v>#N/A</v>
      </c>
      <c r="BF52" s="162" t="e">
        <f t="shared" si="92"/>
        <v>#N/A</v>
      </c>
      <c r="BG52" s="162" t="e">
        <f t="shared" si="92"/>
        <v>#N/A</v>
      </c>
      <c r="BH52" s="208" t="s">
        <v>270</v>
      </c>
      <c r="BI52" s="162" t="e">
        <f t="shared" si="121"/>
        <v>#N/A</v>
      </c>
      <c r="BJ52" s="162" t="e">
        <f t="shared" si="121"/>
        <v>#N/A</v>
      </c>
      <c r="BK52" s="162" t="e">
        <f t="shared" si="121"/>
        <v>#N/A</v>
      </c>
      <c r="BL52" s="162" t="e">
        <f t="shared" si="121"/>
        <v>#N/A</v>
      </c>
      <c r="BM52" s="162" t="e">
        <f t="shared" si="121"/>
        <v>#N/A</v>
      </c>
      <c r="BO52" s="162" t="e">
        <f t="shared" si="122"/>
        <v>#N/A</v>
      </c>
      <c r="BP52" s="162" t="e">
        <f t="shared" si="123"/>
        <v>#N/A</v>
      </c>
      <c r="BQ52" s="162" t="e">
        <f t="shared" si="124"/>
        <v>#N/A</v>
      </c>
      <c r="BR52" s="162" t="e">
        <f t="shared" si="125"/>
        <v>#N/A</v>
      </c>
      <c r="BS52" s="162" t="e">
        <f t="shared" si="126"/>
        <v>#N/A</v>
      </c>
      <c r="BT52" s="112" t="e">
        <f t="shared" si="127"/>
        <v>#N/A</v>
      </c>
      <c r="BU52" s="178" t="e">
        <f t="shared" si="128"/>
        <v>#N/A</v>
      </c>
      <c r="BV52" s="488" t="e">
        <f t="shared" si="129"/>
        <v>#N/A</v>
      </c>
      <c r="BW52" s="488" t="e">
        <f t="shared" si="95"/>
        <v>#N/A</v>
      </c>
      <c r="BX52" s="488" t="e">
        <f t="shared" si="95"/>
        <v>#N/A</v>
      </c>
      <c r="BY52" s="488" t="e">
        <f t="shared" si="95"/>
        <v>#N/A</v>
      </c>
      <c r="BZ52" s="488" t="e">
        <f t="shared" si="95"/>
        <v>#N/A</v>
      </c>
      <c r="CA52" s="178" t="e">
        <f t="shared" si="130"/>
        <v>#N/A</v>
      </c>
      <c r="CB52" s="488" t="e">
        <f t="shared" si="131"/>
        <v>#N/A</v>
      </c>
      <c r="CC52" s="488" t="e">
        <f t="shared" si="96"/>
        <v>#N/A</v>
      </c>
      <c r="CD52" s="488" t="e">
        <f t="shared" si="97"/>
        <v>#N/A</v>
      </c>
      <c r="CE52" s="488" t="e">
        <f t="shared" si="98"/>
        <v>#N/A</v>
      </c>
      <c r="CF52" s="488" t="e">
        <f t="shared" si="99"/>
        <v>#N/A</v>
      </c>
      <c r="CG52" s="178" t="e">
        <f t="shared" si="132"/>
        <v>#N/A</v>
      </c>
      <c r="CH52" s="488" t="e">
        <f t="shared" si="133"/>
        <v>#N/A</v>
      </c>
      <c r="CI52" s="488" t="e">
        <f t="shared" si="100"/>
        <v>#N/A</v>
      </c>
      <c r="CJ52" s="488" t="e">
        <f t="shared" si="101"/>
        <v>#N/A</v>
      </c>
      <c r="CK52" s="488" t="e">
        <f t="shared" si="102"/>
        <v>#N/A</v>
      </c>
      <c r="CL52" s="488" t="e">
        <f t="shared" si="103"/>
        <v>#N/A</v>
      </c>
      <c r="CM52" s="178" t="e">
        <f t="shared" si="134"/>
        <v>#N/A</v>
      </c>
      <c r="CN52" s="488" t="e">
        <f t="shared" si="135"/>
        <v>#N/A</v>
      </c>
      <c r="CO52" s="488" t="e">
        <f t="shared" si="104"/>
        <v>#N/A</v>
      </c>
      <c r="CP52" s="488" t="e">
        <f t="shared" si="105"/>
        <v>#N/A</v>
      </c>
      <c r="CQ52" s="488" t="e">
        <f t="shared" si="106"/>
        <v>#N/A</v>
      </c>
      <c r="CR52" s="488" t="e">
        <f t="shared" si="107"/>
        <v>#N/A</v>
      </c>
      <c r="CS52" s="35"/>
      <c r="CT52" s="35"/>
      <c r="CU52" s="35"/>
      <c r="CV52" s="35"/>
      <c r="CW52" s="35"/>
    </row>
    <row r="53" spans="1:101" x14ac:dyDescent="0.25">
      <c r="A53" s="319"/>
      <c r="B53" s="152">
        <f t="shared" si="136"/>
        <v>0.66666666666666652</v>
      </c>
      <c r="C53" s="429" t="e">
        <f t="shared" si="66"/>
        <v>#N/A</v>
      </c>
      <c r="D53" s="550" t="str">
        <f t="shared" si="108"/>
        <v>YES</v>
      </c>
      <c r="E53" s="178" t="e">
        <f t="shared" si="109"/>
        <v>#N/A</v>
      </c>
      <c r="F53" s="162" t="e">
        <f t="shared" si="110"/>
        <v>#N/A</v>
      </c>
      <c r="G53" s="162" t="e">
        <f t="shared" si="111"/>
        <v>#N/A</v>
      </c>
      <c r="H53" s="162" t="e">
        <f t="shared" si="112"/>
        <v>#N/A</v>
      </c>
      <c r="I53" s="162" t="e">
        <f t="shared" si="113"/>
        <v>#N/A</v>
      </c>
      <c r="J53" s="112" t="e">
        <f t="shared" si="114"/>
        <v>#N/A</v>
      </c>
      <c r="K53" s="160" t="e">
        <f t="shared" si="115"/>
        <v>#N/A</v>
      </c>
      <c r="L53" s="162" t="e">
        <f t="shared" si="68"/>
        <v>#N/A</v>
      </c>
      <c r="M53" s="162" t="e">
        <f t="shared" si="69"/>
        <v>#N/A</v>
      </c>
      <c r="N53" s="162" t="e">
        <f t="shared" si="70"/>
        <v>#N/A</v>
      </c>
      <c r="O53" s="162" t="e">
        <f t="shared" si="71"/>
        <v>#N/A</v>
      </c>
      <c r="P53" s="112" t="e">
        <f t="shared" si="72"/>
        <v>#N/A</v>
      </c>
      <c r="Q53" s="178" t="e">
        <f t="shared" si="116"/>
        <v>#N/A</v>
      </c>
      <c r="R53" s="162" t="e">
        <f t="shared" si="73"/>
        <v>#N/A</v>
      </c>
      <c r="S53" s="162" t="e">
        <f t="shared" si="74"/>
        <v>#N/A</v>
      </c>
      <c r="T53" s="162" t="e">
        <f t="shared" si="75"/>
        <v>#N/A</v>
      </c>
      <c r="U53" s="162" t="e">
        <f t="shared" si="76"/>
        <v>#N/A</v>
      </c>
      <c r="V53" s="112" t="e">
        <f t="shared" si="77"/>
        <v>#N/A</v>
      </c>
      <c r="W53" s="178" t="e">
        <f t="shared" si="117"/>
        <v>#N/A</v>
      </c>
      <c r="X53" s="162" t="e">
        <f t="shared" si="78"/>
        <v>#N/A</v>
      </c>
      <c r="Y53" s="162" t="e">
        <f t="shared" si="79"/>
        <v>#N/A</v>
      </c>
      <c r="Z53" s="162" t="e">
        <f t="shared" si="80"/>
        <v>#N/A</v>
      </c>
      <c r="AA53" s="162" t="e">
        <f t="shared" si="81"/>
        <v>#N/A</v>
      </c>
      <c r="AB53" s="112" t="e">
        <f t="shared" si="82"/>
        <v>#N/A</v>
      </c>
      <c r="AC53" s="178" t="e">
        <f t="shared" si="118"/>
        <v>#N/A</v>
      </c>
      <c r="AD53" s="162" t="e">
        <f t="shared" si="83"/>
        <v>#N/A</v>
      </c>
      <c r="AE53" s="162" t="e">
        <f t="shared" si="84"/>
        <v>#N/A</v>
      </c>
      <c r="AF53" s="162" t="e">
        <f t="shared" si="85"/>
        <v>#N/A</v>
      </c>
      <c r="AG53" s="162" t="e">
        <f t="shared" si="86"/>
        <v>#N/A</v>
      </c>
      <c r="AH53" s="162" t="e">
        <f t="shared" si="87"/>
        <v>#N/A</v>
      </c>
      <c r="AI53" s="35"/>
      <c r="AJ53" s="166" t="s">
        <v>270</v>
      </c>
      <c r="AK53" s="166" t="s">
        <v>270</v>
      </c>
      <c r="AL53" s="166" t="s">
        <v>270</v>
      </c>
      <c r="AM53" s="166" t="s">
        <v>270</v>
      </c>
      <c r="AN53" s="166" t="s">
        <v>270</v>
      </c>
      <c r="AO53" s="166" t="s">
        <v>270</v>
      </c>
      <c r="AP53" s="208" t="s">
        <v>270</v>
      </c>
      <c r="AQ53" s="162" t="e">
        <f t="shared" si="88"/>
        <v>#N/A</v>
      </c>
      <c r="AR53" s="162" t="e">
        <f t="shared" si="119"/>
        <v>#N/A</v>
      </c>
      <c r="AS53" s="162" t="e">
        <f t="shared" si="119"/>
        <v>#N/A</v>
      </c>
      <c r="AT53" s="162" t="e">
        <f t="shared" si="119"/>
        <v>#N/A</v>
      </c>
      <c r="AU53" s="162" t="e">
        <f t="shared" si="119"/>
        <v>#N/A</v>
      </c>
      <c r="AV53" s="208" t="s">
        <v>270</v>
      </c>
      <c r="AW53" s="162" t="e">
        <f t="shared" si="90"/>
        <v>#N/A</v>
      </c>
      <c r="AX53" s="162" t="e">
        <f t="shared" si="120"/>
        <v>#N/A</v>
      </c>
      <c r="AY53" s="162" t="e">
        <f t="shared" si="120"/>
        <v>#N/A</v>
      </c>
      <c r="AZ53" s="162" t="e">
        <f t="shared" si="120"/>
        <v>#N/A</v>
      </c>
      <c r="BA53" s="162" t="e">
        <f t="shared" si="120"/>
        <v>#N/A</v>
      </c>
      <c r="BB53" s="208" t="s">
        <v>270</v>
      </c>
      <c r="BC53" s="162" t="e">
        <f t="shared" ref="BC53:BG60" si="137">IF(RANK($C53,$C$37:$C$60)&gt;ABS(BC$61),0,(BC$61/ABS(BC$61)))</f>
        <v>#N/A</v>
      </c>
      <c r="BD53" s="162" t="e">
        <f t="shared" si="137"/>
        <v>#N/A</v>
      </c>
      <c r="BE53" s="162" t="e">
        <f t="shared" si="137"/>
        <v>#N/A</v>
      </c>
      <c r="BF53" s="162" t="e">
        <f t="shared" si="137"/>
        <v>#N/A</v>
      </c>
      <c r="BG53" s="162" t="e">
        <f t="shared" si="137"/>
        <v>#N/A</v>
      </c>
      <c r="BH53" s="208" t="s">
        <v>270</v>
      </c>
      <c r="BI53" s="162" t="e">
        <f t="shared" si="121"/>
        <v>#N/A</v>
      </c>
      <c r="BJ53" s="162" t="e">
        <f t="shared" si="121"/>
        <v>#N/A</v>
      </c>
      <c r="BK53" s="162" t="e">
        <f t="shared" si="121"/>
        <v>#N/A</v>
      </c>
      <c r="BL53" s="162" t="e">
        <f t="shared" si="121"/>
        <v>#N/A</v>
      </c>
      <c r="BM53" s="162" t="e">
        <f t="shared" si="121"/>
        <v>#N/A</v>
      </c>
      <c r="BO53" s="162" t="e">
        <f t="shared" si="122"/>
        <v>#N/A</v>
      </c>
      <c r="BP53" s="162" t="e">
        <f t="shared" si="123"/>
        <v>#N/A</v>
      </c>
      <c r="BQ53" s="162" t="e">
        <f t="shared" si="124"/>
        <v>#N/A</v>
      </c>
      <c r="BR53" s="162" t="e">
        <f t="shared" si="125"/>
        <v>#N/A</v>
      </c>
      <c r="BS53" s="162" t="e">
        <f t="shared" si="126"/>
        <v>#N/A</v>
      </c>
      <c r="BT53" s="112" t="e">
        <f t="shared" si="127"/>
        <v>#N/A</v>
      </c>
      <c r="BU53" s="178" t="e">
        <f t="shared" si="128"/>
        <v>#N/A</v>
      </c>
      <c r="BV53" s="488" t="e">
        <f t="shared" si="129"/>
        <v>#N/A</v>
      </c>
      <c r="BW53" s="488" t="e">
        <f t="shared" ref="BW53:BW60" si="138">M53+AR53</f>
        <v>#N/A</v>
      </c>
      <c r="BX53" s="488" t="e">
        <f t="shared" ref="BX53:BX60" si="139">N53+AS53</f>
        <v>#N/A</v>
      </c>
      <c r="BY53" s="488" t="e">
        <f t="shared" ref="BY53:BY60" si="140">O53+AT53</f>
        <v>#N/A</v>
      </c>
      <c r="BZ53" s="488" t="e">
        <f t="shared" ref="BZ53:BZ60" si="141">P53+AU53</f>
        <v>#N/A</v>
      </c>
      <c r="CA53" s="178" t="e">
        <f t="shared" si="130"/>
        <v>#N/A</v>
      </c>
      <c r="CB53" s="488" t="e">
        <f t="shared" si="131"/>
        <v>#N/A</v>
      </c>
      <c r="CC53" s="488" t="e">
        <f t="shared" si="96"/>
        <v>#N/A</v>
      </c>
      <c r="CD53" s="488" t="e">
        <f t="shared" si="97"/>
        <v>#N/A</v>
      </c>
      <c r="CE53" s="488" t="e">
        <f t="shared" si="98"/>
        <v>#N/A</v>
      </c>
      <c r="CF53" s="488" t="e">
        <f t="shared" si="99"/>
        <v>#N/A</v>
      </c>
      <c r="CG53" s="178" t="e">
        <f t="shared" si="132"/>
        <v>#N/A</v>
      </c>
      <c r="CH53" s="488" t="e">
        <f t="shared" si="133"/>
        <v>#N/A</v>
      </c>
      <c r="CI53" s="488" t="e">
        <f t="shared" si="100"/>
        <v>#N/A</v>
      </c>
      <c r="CJ53" s="488" t="e">
        <f t="shared" si="101"/>
        <v>#N/A</v>
      </c>
      <c r="CK53" s="488" t="e">
        <f t="shared" si="102"/>
        <v>#N/A</v>
      </c>
      <c r="CL53" s="488" t="e">
        <f t="shared" si="103"/>
        <v>#N/A</v>
      </c>
      <c r="CM53" s="178" t="e">
        <f t="shared" si="134"/>
        <v>#N/A</v>
      </c>
      <c r="CN53" s="488" t="e">
        <f t="shared" si="135"/>
        <v>#N/A</v>
      </c>
      <c r="CO53" s="488" t="e">
        <f t="shared" si="104"/>
        <v>#N/A</v>
      </c>
      <c r="CP53" s="488" t="e">
        <f t="shared" si="105"/>
        <v>#N/A</v>
      </c>
      <c r="CQ53" s="488" t="e">
        <f t="shared" si="106"/>
        <v>#N/A</v>
      </c>
      <c r="CR53" s="488" t="e">
        <f t="shared" si="107"/>
        <v>#N/A</v>
      </c>
      <c r="CS53" s="35"/>
      <c r="CT53" s="35"/>
      <c r="CU53" s="35"/>
      <c r="CV53" s="35"/>
      <c r="CW53" s="35"/>
    </row>
    <row r="54" spans="1:101" x14ac:dyDescent="0.25">
      <c r="A54" s="319"/>
      <c r="B54" s="152">
        <f t="shared" si="136"/>
        <v>0.70833333333333315</v>
      </c>
      <c r="C54" s="429" t="e">
        <f t="shared" si="66"/>
        <v>#N/A</v>
      </c>
      <c r="D54" s="550" t="str">
        <f t="shared" si="108"/>
        <v>YES</v>
      </c>
      <c r="E54" s="178" t="e">
        <f t="shared" si="109"/>
        <v>#N/A</v>
      </c>
      <c r="F54" s="162" t="e">
        <f t="shared" si="110"/>
        <v>#N/A</v>
      </c>
      <c r="G54" s="162" t="e">
        <f t="shared" si="111"/>
        <v>#N/A</v>
      </c>
      <c r="H54" s="162" t="e">
        <f t="shared" si="112"/>
        <v>#N/A</v>
      </c>
      <c r="I54" s="162" t="e">
        <f t="shared" si="113"/>
        <v>#N/A</v>
      </c>
      <c r="J54" s="112" t="e">
        <f t="shared" si="114"/>
        <v>#N/A</v>
      </c>
      <c r="K54" s="160" t="e">
        <f t="shared" si="115"/>
        <v>#N/A</v>
      </c>
      <c r="L54" s="162" t="e">
        <f t="shared" si="68"/>
        <v>#N/A</v>
      </c>
      <c r="M54" s="162" t="e">
        <f t="shared" si="69"/>
        <v>#N/A</v>
      </c>
      <c r="N54" s="162" t="e">
        <f t="shared" si="70"/>
        <v>#N/A</v>
      </c>
      <c r="O54" s="162" t="e">
        <f t="shared" si="71"/>
        <v>#N/A</v>
      </c>
      <c r="P54" s="112" t="e">
        <f t="shared" si="72"/>
        <v>#N/A</v>
      </c>
      <c r="Q54" s="178" t="e">
        <f t="shared" si="116"/>
        <v>#N/A</v>
      </c>
      <c r="R54" s="162" t="e">
        <f t="shared" si="73"/>
        <v>#N/A</v>
      </c>
      <c r="S54" s="162" t="e">
        <f t="shared" si="74"/>
        <v>#N/A</v>
      </c>
      <c r="T54" s="162" t="e">
        <f t="shared" si="75"/>
        <v>#N/A</v>
      </c>
      <c r="U54" s="162" t="e">
        <f t="shared" si="76"/>
        <v>#N/A</v>
      </c>
      <c r="V54" s="112" t="e">
        <f t="shared" si="77"/>
        <v>#N/A</v>
      </c>
      <c r="W54" s="178" t="e">
        <f t="shared" si="117"/>
        <v>#N/A</v>
      </c>
      <c r="X54" s="162" t="e">
        <f t="shared" si="78"/>
        <v>#N/A</v>
      </c>
      <c r="Y54" s="162" t="e">
        <f t="shared" si="79"/>
        <v>#N/A</v>
      </c>
      <c r="Z54" s="162" t="e">
        <f t="shared" si="80"/>
        <v>#N/A</v>
      </c>
      <c r="AA54" s="162" t="e">
        <f t="shared" si="81"/>
        <v>#N/A</v>
      </c>
      <c r="AB54" s="112" t="e">
        <f t="shared" si="82"/>
        <v>#N/A</v>
      </c>
      <c r="AC54" s="178" t="e">
        <f t="shared" si="118"/>
        <v>#N/A</v>
      </c>
      <c r="AD54" s="162" t="e">
        <f t="shared" si="83"/>
        <v>#N/A</v>
      </c>
      <c r="AE54" s="162" t="e">
        <f t="shared" si="84"/>
        <v>#N/A</v>
      </c>
      <c r="AF54" s="162" t="e">
        <f t="shared" si="85"/>
        <v>#N/A</v>
      </c>
      <c r="AG54" s="162" t="e">
        <f t="shared" si="86"/>
        <v>#N/A</v>
      </c>
      <c r="AH54" s="162" t="e">
        <f t="shared" si="87"/>
        <v>#N/A</v>
      </c>
      <c r="AI54" s="35"/>
      <c r="AJ54" s="166" t="s">
        <v>270</v>
      </c>
      <c r="AK54" s="166" t="s">
        <v>270</v>
      </c>
      <c r="AL54" s="166" t="s">
        <v>270</v>
      </c>
      <c r="AM54" s="166" t="s">
        <v>270</v>
      </c>
      <c r="AN54" s="166" t="s">
        <v>270</v>
      </c>
      <c r="AO54" s="166" t="s">
        <v>270</v>
      </c>
      <c r="AP54" s="208" t="s">
        <v>270</v>
      </c>
      <c r="AQ54" s="162" t="e">
        <f t="shared" si="88"/>
        <v>#N/A</v>
      </c>
      <c r="AR54" s="162" t="e">
        <f t="shared" si="119"/>
        <v>#N/A</v>
      </c>
      <c r="AS54" s="162" t="e">
        <f t="shared" si="119"/>
        <v>#N/A</v>
      </c>
      <c r="AT54" s="162" t="e">
        <f t="shared" si="119"/>
        <v>#N/A</v>
      </c>
      <c r="AU54" s="162" t="e">
        <f t="shared" si="119"/>
        <v>#N/A</v>
      </c>
      <c r="AV54" s="208" t="s">
        <v>270</v>
      </c>
      <c r="AW54" s="162" t="e">
        <f t="shared" si="90"/>
        <v>#N/A</v>
      </c>
      <c r="AX54" s="162" t="e">
        <f t="shared" si="120"/>
        <v>#N/A</v>
      </c>
      <c r="AY54" s="162" t="e">
        <f t="shared" si="120"/>
        <v>#N/A</v>
      </c>
      <c r="AZ54" s="162" t="e">
        <f t="shared" si="120"/>
        <v>#N/A</v>
      </c>
      <c r="BA54" s="162" t="e">
        <f t="shared" si="120"/>
        <v>#N/A</v>
      </c>
      <c r="BB54" s="208" t="s">
        <v>270</v>
      </c>
      <c r="BC54" s="162" t="e">
        <f t="shared" si="137"/>
        <v>#N/A</v>
      </c>
      <c r="BD54" s="162" t="e">
        <f t="shared" si="137"/>
        <v>#N/A</v>
      </c>
      <c r="BE54" s="162" t="e">
        <f t="shared" si="137"/>
        <v>#N/A</v>
      </c>
      <c r="BF54" s="162" t="e">
        <f t="shared" si="137"/>
        <v>#N/A</v>
      </c>
      <c r="BG54" s="162" t="e">
        <f t="shared" si="137"/>
        <v>#N/A</v>
      </c>
      <c r="BH54" s="208" t="s">
        <v>270</v>
      </c>
      <c r="BI54" s="162" t="e">
        <f t="shared" si="121"/>
        <v>#N/A</v>
      </c>
      <c r="BJ54" s="162" t="e">
        <f t="shared" si="121"/>
        <v>#N/A</v>
      </c>
      <c r="BK54" s="162" t="e">
        <f t="shared" si="121"/>
        <v>#N/A</v>
      </c>
      <c r="BL54" s="162" t="e">
        <f t="shared" si="121"/>
        <v>#N/A</v>
      </c>
      <c r="BM54" s="162" t="e">
        <f t="shared" si="121"/>
        <v>#N/A</v>
      </c>
      <c r="BO54" s="162" t="e">
        <f t="shared" si="122"/>
        <v>#N/A</v>
      </c>
      <c r="BP54" s="162" t="e">
        <f t="shared" si="123"/>
        <v>#N/A</v>
      </c>
      <c r="BQ54" s="162" t="e">
        <f t="shared" si="124"/>
        <v>#N/A</v>
      </c>
      <c r="BR54" s="162" t="e">
        <f t="shared" si="125"/>
        <v>#N/A</v>
      </c>
      <c r="BS54" s="162" t="e">
        <f t="shared" si="126"/>
        <v>#N/A</v>
      </c>
      <c r="BT54" s="112" t="e">
        <f t="shared" si="127"/>
        <v>#N/A</v>
      </c>
      <c r="BU54" s="178" t="e">
        <f t="shared" si="128"/>
        <v>#N/A</v>
      </c>
      <c r="BV54" s="488" t="e">
        <f t="shared" si="129"/>
        <v>#N/A</v>
      </c>
      <c r="BW54" s="488" t="e">
        <f t="shared" si="138"/>
        <v>#N/A</v>
      </c>
      <c r="BX54" s="488" t="e">
        <f t="shared" si="139"/>
        <v>#N/A</v>
      </c>
      <c r="BY54" s="488" t="e">
        <f t="shared" si="140"/>
        <v>#N/A</v>
      </c>
      <c r="BZ54" s="488" t="e">
        <f t="shared" si="141"/>
        <v>#N/A</v>
      </c>
      <c r="CA54" s="178" t="e">
        <f t="shared" si="130"/>
        <v>#N/A</v>
      </c>
      <c r="CB54" s="488" t="e">
        <f t="shared" si="131"/>
        <v>#N/A</v>
      </c>
      <c r="CC54" s="488" t="e">
        <f t="shared" si="96"/>
        <v>#N/A</v>
      </c>
      <c r="CD54" s="488" t="e">
        <f t="shared" si="97"/>
        <v>#N/A</v>
      </c>
      <c r="CE54" s="488" t="e">
        <f t="shared" si="98"/>
        <v>#N/A</v>
      </c>
      <c r="CF54" s="488" t="e">
        <f t="shared" si="99"/>
        <v>#N/A</v>
      </c>
      <c r="CG54" s="178" t="e">
        <f t="shared" si="132"/>
        <v>#N/A</v>
      </c>
      <c r="CH54" s="488" t="e">
        <f t="shared" si="133"/>
        <v>#N/A</v>
      </c>
      <c r="CI54" s="488" t="e">
        <f t="shared" si="100"/>
        <v>#N/A</v>
      </c>
      <c r="CJ54" s="488" t="e">
        <f t="shared" si="101"/>
        <v>#N/A</v>
      </c>
      <c r="CK54" s="488" t="e">
        <f t="shared" si="102"/>
        <v>#N/A</v>
      </c>
      <c r="CL54" s="488" t="e">
        <f t="shared" si="103"/>
        <v>#N/A</v>
      </c>
      <c r="CM54" s="178" t="e">
        <f t="shared" si="134"/>
        <v>#N/A</v>
      </c>
      <c r="CN54" s="488" t="e">
        <f t="shared" si="135"/>
        <v>#N/A</v>
      </c>
      <c r="CO54" s="488" t="e">
        <f t="shared" si="104"/>
        <v>#N/A</v>
      </c>
      <c r="CP54" s="488" t="e">
        <f t="shared" si="105"/>
        <v>#N/A</v>
      </c>
      <c r="CQ54" s="488" t="e">
        <f t="shared" si="106"/>
        <v>#N/A</v>
      </c>
      <c r="CR54" s="488" t="e">
        <f t="shared" si="107"/>
        <v>#N/A</v>
      </c>
      <c r="CS54" s="35"/>
      <c r="CT54" s="35"/>
      <c r="CU54" s="35"/>
      <c r="CV54" s="35"/>
      <c r="CW54" s="35"/>
    </row>
    <row r="55" spans="1:101" x14ac:dyDescent="0.25">
      <c r="A55" s="319"/>
      <c r="B55" s="152">
        <f t="shared" si="136"/>
        <v>0.74999999999999978</v>
      </c>
      <c r="C55" s="429" t="e">
        <f t="shared" si="66"/>
        <v>#N/A</v>
      </c>
      <c r="D55" s="550" t="str">
        <f t="shared" si="108"/>
        <v>YES</v>
      </c>
      <c r="E55" s="178" t="e">
        <f t="shared" si="109"/>
        <v>#N/A</v>
      </c>
      <c r="F55" s="162" t="e">
        <f t="shared" si="110"/>
        <v>#N/A</v>
      </c>
      <c r="G55" s="162" t="e">
        <f t="shared" si="111"/>
        <v>#N/A</v>
      </c>
      <c r="H55" s="162" t="e">
        <f t="shared" si="112"/>
        <v>#N/A</v>
      </c>
      <c r="I55" s="162" t="e">
        <f t="shared" si="113"/>
        <v>#N/A</v>
      </c>
      <c r="J55" s="112" t="e">
        <f t="shared" si="114"/>
        <v>#N/A</v>
      </c>
      <c r="K55" s="160" t="e">
        <f t="shared" si="115"/>
        <v>#N/A</v>
      </c>
      <c r="L55" s="162" t="e">
        <f t="shared" si="68"/>
        <v>#N/A</v>
      </c>
      <c r="M55" s="162" t="e">
        <f t="shared" si="69"/>
        <v>#N/A</v>
      </c>
      <c r="N55" s="162" t="e">
        <f t="shared" si="70"/>
        <v>#N/A</v>
      </c>
      <c r="O55" s="162" t="e">
        <f t="shared" si="71"/>
        <v>#N/A</v>
      </c>
      <c r="P55" s="112" t="e">
        <f t="shared" si="72"/>
        <v>#N/A</v>
      </c>
      <c r="Q55" s="178" t="e">
        <f t="shared" si="116"/>
        <v>#N/A</v>
      </c>
      <c r="R55" s="162" t="e">
        <f t="shared" si="73"/>
        <v>#N/A</v>
      </c>
      <c r="S55" s="162" t="e">
        <f t="shared" si="74"/>
        <v>#N/A</v>
      </c>
      <c r="T55" s="162" t="e">
        <f t="shared" si="75"/>
        <v>#N/A</v>
      </c>
      <c r="U55" s="162" t="e">
        <f t="shared" si="76"/>
        <v>#N/A</v>
      </c>
      <c r="V55" s="112" t="e">
        <f t="shared" si="77"/>
        <v>#N/A</v>
      </c>
      <c r="W55" s="178" t="e">
        <f t="shared" si="117"/>
        <v>#N/A</v>
      </c>
      <c r="X55" s="162" t="e">
        <f t="shared" si="78"/>
        <v>#N/A</v>
      </c>
      <c r="Y55" s="162" t="e">
        <f t="shared" si="79"/>
        <v>#N/A</v>
      </c>
      <c r="Z55" s="162" t="e">
        <f t="shared" si="80"/>
        <v>#N/A</v>
      </c>
      <c r="AA55" s="162" t="e">
        <f t="shared" si="81"/>
        <v>#N/A</v>
      </c>
      <c r="AB55" s="112" t="e">
        <f t="shared" si="82"/>
        <v>#N/A</v>
      </c>
      <c r="AC55" s="178" t="e">
        <f t="shared" si="118"/>
        <v>#N/A</v>
      </c>
      <c r="AD55" s="162" t="e">
        <f t="shared" si="83"/>
        <v>#N/A</v>
      </c>
      <c r="AE55" s="162" t="e">
        <f t="shared" si="84"/>
        <v>#N/A</v>
      </c>
      <c r="AF55" s="162" t="e">
        <f t="shared" si="85"/>
        <v>#N/A</v>
      </c>
      <c r="AG55" s="162" t="e">
        <f t="shared" si="86"/>
        <v>#N/A</v>
      </c>
      <c r="AH55" s="162" t="e">
        <f t="shared" si="87"/>
        <v>#N/A</v>
      </c>
      <c r="AI55" s="35"/>
      <c r="AJ55" s="166" t="s">
        <v>270</v>
      </c>
      <c r="AK55" s="166" t="s">
        <v>270</v>
      </c>
      <c r="AL55" s="166" t="s">
        <v>270</v>
      </c>
      <c r="AM55" s="166" t="s">
        <v>270</v>
      </c>
      <c r="AN55" s="166" t="s">
        <v>270</v>
      </c>
      <c r="AO55" s="166" t="s">
        <v>270</v>
      </c>
      <c r="AP55" s="208" t="s">
        <v>270</v>
      </c>
      <c r="AQ55" s="162" t="e">
        <f t="shared" si="88"/>
        <v>#N/A</v>
      </c>
      <c r="AR55" s="162" t="e">
        <f t="shared" si="119"/>
        <v>#N/A</v>
      </c>
      <c r="AS55" s="162" t="e">
        <f t="shared" si="119"/>
        <v>#N/A</v>
      </c>
      <c r="AT55" s="162" t="e">
        <f t="shared" si="119"/>
        <v>#N/A</v>
      </c>
      <c r="AU55" s="162" t="e">
        <f t="shared" si="119"/>
        <v>#N/A</v>
      </c>
      <c r="AV55" s="208" t="s">
        <v>270</v>
      </c>
      <c r="AW55" s="162" t="e">
        <f t="shared" si="90"/>
        <v>#N/A</v>
      </c>
      <c r="AX55" s="162" t="e">
        <f t="shared" si="120"/>
        <v>#N/A</v>
      </c>
      <c r="AY55" s="162" t="e">
        <f t="shared" si="120"/>
        <v>#N/A</v>
      </c>
      <c r="AZ55" s="162" t="e">
        <f t="shared" si="120"/>
        <v>#N/A</v>
      </c>
      <c r="BA55" s="162" t="e">
        <f t="shared" si="120"/>
        <v>#N/A</v>
      </c>
      <c r="BB55" s="208" t="s">
        <v>270</v>
      </c>
      <c r="BC55" s="162" t="e">
        <f t="shared" si="137"/>
        <v>#N/A</v>
      </c>
      <c r="BD55" s="162" t="e">
        <f t="shared" si="137"/>
        <v>#N/A</v>
      </c>
      <c r="BE55" s="162" t="e">
        <f t="shared" si="137"/>
        <v>#N/A</v>
      </c>
      <c r="BF55" s="162" t="e">
        <f t="shared" si="137"/>
        <v>#N/A</v>
      </c>
      <c r="BG55" s="162" t="e">
        <f t="shared" si="137"/>
        <v>#N/A</v>
      </c>
      <c r="BH55" s="208" t="s">
        <v>270</v>
      </c>
      <c r="BI55" s="162" t="e">
        <f t="shared" si="121"/>
        <v>#N/A</v>
      </c>
      <c r="BJ55" s="162" t="e">
        <f t="shared" si="121"/>
        <v>#N/A</v>
      </c>
      <c r="BK55" s="162" t="e">
        <f t="shared" si="121"/>
        <v>#N/A</v>
      </c>
      <c r="BL55" s="162" t="e">
        <f t="shared" si="121"/>
        <v>#N/A</v>
      </c>
      <c r="BM55" s="162" t="e">
        <f t="shared" si="121"/>
        <v>#N/A</v>
      </c>
      <c r="BO55" s="162" t="e">
        <f t="shared" si="122"/>
        <v>#N/A</v>
      </c>
      <c r="BP55" s="162" t="e">
        <f t="shared" si="123"/>
        <v>#N/A</v>
      </c>
      <c r="BQ55" s="162" t="e">
        <f t="shared" si="124"/>
        <v>#N/A</v>
      </c>
      <c r="BR55" s="162" t="e">
        <f t="shared" si="125"/>
        <v>#N/A</v>
      </c>
      <c r="BS55" s="162" t="e">
        <f t="shared" si="126"/>
        <v>#N/A</v>
      </c>
      <c r="BT55" s="112" t="e">
        <f t="shared" si="127"/>
        <v>#N/A</v>
      </c>
      <c r="BU55" s="178" t="e">
        <f t="shared" si="128"/>
        <v>#N/A</v>
      </c>
      <c r="BV55" s="488" t="e">
        <f t="shared" si="129"/>
        <v>#N/A</v>
      </c>
      <c r="BW55" s="488" t="e">
        <f t="shared" si="138"/>
        <v>#N/A</v>
      </c>
      <c r="BX55" s="488" t="e">
        <f t="shared" si="139"/>
        <v>#N/A</v>
      </c>
      <c r="BY55" s="488" t="e">
        <f t="shared" si="140"/>
        <v>#N/A</v>
      </c>
      <c r="BZ55" s="488" t="e">
        <f t="shared" si="141"/>
        <v>#N/A</v>
      </c>
      <c r="CA55" s="178" t="e">
        <f t="shared" si="130"/>
        <v>#N/A</v>
      </c>
      <c r="CB55" s="488" t="e">
        <f t="shared" si="131"/>
        <v>#N/A</v>
      </c>
      <c r="CC55" s="488" t="e">
        <f t="shared" si="96"/>
        <v>#N/A</v>
      </c>
      <c r="CD55" s="488" t="e">
        <f t="shared" si="97"/>
        <v>#N/A</v>
      </c>
      <c r="CE55" s="488" t="e">
        <f t="shared" si="98"/>
        <v>#N/A</v>
      </c>
      <c r="CF55" s="488" t="e">
        <f t="shared" si="99"/>
        <v>#N/A</v>
      </c>
      <c r="CG55" s="178" t="e">
        <f t="shared" si="132"/>
        <v>#N/A</v>
      </c>
      <c r="CH55" s="488" t="e">
        <f t="shared" si="133"/>
        <v>#N/A</v>
      </c>
      <c r="CI55" s="488" t="e">
        <f t="shared" si="100"/>
        <v>#N/A</v>
      </c>
      <c r="CJ55" s="488" t="e">
        <f t="shared" si="101"/>
        <v>#N/A</v>
      </c>
      <c r="CK55" s="488" t="e">
        <f t="shared" si="102"/>
        <v>#N/A</v>
      </c>
      <c r="CL55" s="488" t="e">
        <f t="shared" si="103"/>
        <v>#N/A</v>
      </c>
      <c r="CM55" s="178" t="e">
        <f t="shared" si="134"/>
        <v>#N/A</v>
      </c>
      <c r="CN55" s="488" t="e">
        <f t="shared" si="135"/>
        <v>#N/A</v>
      </c>
      <c r="CO55" s="488" t="e">
        <f t="shared" si="104"/>
        <v>#N/A</v>
      </c>
      <c r="CP55" s="488" t="e">
        <f t="shared" si="105"/>
        <v>#N/A</v>
      </c>
      <c r="CQ55" s="488" t="e">
        <f t="shared" si="106"/>
        <v>#N/A</v>
      </c>
      <c r="CR55" s="488" t="e">
        <f t="shared" si="107"/>
        <v>#N/A</v>
      </c>
      <c r="CS55" s="35"/>
      <c r="CT55" s="35"/>
      <c r="CU55" s="35"/>
      <c r="CV55" s="35"/>
      <c r="CW55" s="35"/>
    </row>
    <row r="56" spans="1:101" x14ac:dyDescent="0.25">
      <c r="A56" s="319"/>
      <c r="B56" s="152">
        <f t="shared" si="136"/>
        <v>0.79166666666666641</v>
      </c>
      <c r="C56" s="429" t="e">
        <f t="shared" si="66"/>
        <v>#N/A</v>
      </c>
      <c r="D56" s="550" t="str">
        <f t="shared" si="108"/>
        <v>YES</v>
      </c>
      <c r="E56" s="178" t="e">
        <f t="shared" si="109"/>
        <v>#N/A</v>
      </c>
      <c r="F56" s="162" t="e">
        <f t="shared" si="110"/>
        <v>#N/A</v>
      </c>
      <c r="G56" s="162" t="e">
        <f t="shared" si="111"/>
        <v>#N/A</v>
      </c>
      <c r="H56" s="162" t="e">
        <f t="shared" si="112"/>
        <v>#N/A</v>
      </c>
      <c r="I56" s="162" t="e">
        <f t="shared" si="113"/>
        <v>#N/A</v>
      </c>
      <c r="J56" s="112" t="e">
        <f t="shared" si="114"/>
        <v>#N/A</v>
      </c>
      <c r="K56" s="160" t="e">
        <f t="shared" si="115"/>
        <v>#N/A</v>
      </c>
      <c r="L56" s="162" t="e">
        <f t="shared" si="68"/>
        <v>#N/A</v>
      </c>
      <c r="M56" s="162" t="e">
        <f t="shared" si="69"/>
        <v>#N/A</v>
      </c>
      <c r="N56" s="162" t="e">
        <f t="shared" si="70"/>
        <v>#N/A</v>
      </c>
      <c r="O56" s="162" t="e">
        <f t="shared" si="71"/>
        <v>#N/A</v>
      </c>
      <c r="P56" s="112" t="e">
        <f t="shared" si="72"/>
        <v>#N/A</v>
      </c>
      <c r="Q56" s="178" t="e">
        <f t="shared" si="116"/>
        <v>#N/A</v>
      </c>
      <c r="R56" s="162" t="e">
        <f t="shared" si="73"/>
        <v>#N/A</v>
      </c>
      <c r="S56" s="162" t="e">
        <f t="shared" si="74"/>
        <v>#N/A</v>
      </c>
      <c r="T56" s="162" t="e">
        <f t="shared" si="75"/>
        <v>#N/A</v>
      </c>
      <c r="U56" s="162" t="e">
        <f t="shared" si="76"/>
        <v>#N/A</v>
      </c>
      <c r="V56" s="112" t="e">
        <f t="shared" si="77"/>
        <v>#N/A</v>
      </c>
      <c r="W56" s="178" t="e">
        <f t="shared" si="117"/>
        <v>#N/A</v>
      </c>
      <c r="X56" s="162" t="e">
        <f t="shared" si="78"/>
        <v>#N/A</v>
      </c>
      <c r="Y56" s="162" t="e">
        <f t="shared" si="79"/>
        <v>#N/A</v>
      </c>
      <c r="Z56" s="162" t="e">
        <f t="shared" si="80"/>
        <v>#N/A</v>
      </c>
      <c r="AA56" s="162" t="e">
        <f t="shared" si="81"/>
        <v>#N/A</v>
      </c>
      <c r="AB56" s="112" t="e">
        <f t="shared" si="82"/>
        <v>#N/A</v>
      </c>
      <c r="AC56" s="178" t="e">
        <f t="shared" si="118"/>
        <v>#N/A</v>
      </c>
      <c r="AD56" s="162" t="e">
        <f t="shared" si="83"/>
        <v>#N/A</v>
      </c>
      <c r="AE56" s="162" t="e">
        <f t="shared" si="84"/>
        <v>#N/A</v>
      </c>
      <c r="AF56" s="162" t="e">
        <f t="shared" si="85"/>
        <v>#N/A</v>
      </c>
      <c r="AG56" s="162" t="e">
        <f t="shared" si="86"/>
        <v>#N/A</v>
      </c>
      <c r="AH56" s="162" t="e">
        <f t="shared" si="87"/>
        <v>#N/A</v>
      </c>
      <c r="AI56" s="35"/>
      <c r="AJ56" s="166" t="s">
        <v>270</v>
      </c>
      <c r="AK56" s="166" t="s">
        <v>270</v>
      </c>
      <c r="AL56" s="166" t="s">
        <v>270</v>
      </c>
      <c r="AM56" s="166" t="s">
        <v>270</v>
      </c>
      <c r="AN56" s="166" t="s">
        <v>270</v>
      </c>
      <c r="AO56" s="166" t="s">
        <v>270</v>
      </c>
      <c r="AP56" s="208" t="s">
        <v>270</v>
      </c>
      <c r="AQ56" s="162" t="e">
        <f t="shared" si="88"/>
        <v>#N/A</v>
      </c>
      <c r="AR56" s="162" t="e">
        <f t="shared" si="119"/>
        <v>#N/A</v>
      </c>
      <c r="AS56" s="162" t="e">
        <f t="shared" si="119"/>
        <v>#N/A</v>
      </c>
      <c r="AT56" s="162" t="e">
        <f t="shared" si="119"/>
        <v>#N/A</v>
      </c>
      <c r="AU56" s="162" t="e">
        <f t="shared" si="119"/>
        <v>#N/A</v>
      </c>
      <c r="AV56" s="208" t="s">
        <v>270</v>
      </c>
      <c r="AW56" s="162" t="e">
        <f t="shared" si="90"/>
        <v>#N/A</v>
      </c>
      <c r="AX56" s="162" t="e">
        <f t="shared" si="120"/>
        <v>#N/A</v>
      </c>
      <c r="AY56" s="162" t="e">
        <f t="shared" si="120"/>
        <v>#N/A</v>
      </c>
      <c r="AZ56" s="162" t="e">
        <f t="shared" si="120"/>
        <v>#N/A</v>
      </c>
      <c r="BA56" s="162" t="e">
        <f t="shared" si="120"/>
        <v>#N/A</v>
      </c>
      <c r="BB56" s="208" t="s">
        <v>270</v>
      </c>
      <c r="BC56" s="162" t="e">
        <f t="shared" si="137"/>
        <v>#N/A</v>
      </c>
      <c r="BD56" s="162" t="e">
        <f t="shared" si="137"/>
        <v>#N/A</v>
      </c>
      <c r="BE56" s="162" t="e">
        <f t="shared" si="137"/>
        <v>#N/A</v>
      </c>
      <c r="BF56" s="162" t="e">
        <f t="shared" si="137"/>
        <v>#N/A</v>
      </c>
      <c r="BG56" s="162" t="e">
        <f t="shared" si="137"/>
        <v>#N/A</v>
      </c>
      <c r="BH56" s="208" t="s">
        <v>270</v>
      </c>
      <c r="BI56" s="162" t="e">
        <f t="shared" si="121"/>
        <v>#N/A</v>
      </c>
      <c r="BJ56" s="162" t="e">
        <f t="shared" si="121"/>
        <v>#N/A</v>
      </c>
      <c r="BK56" s="162" t="e">
        <f t="shared" si="121"/>
        <v>#N/A</v>
      </c>
      <c r="BL56" s="162" t="e">
        <f t="shared" si="121"/>
        <v>#N/A</v>
      </c>
      <c r="BM56" s="162" t="e">
        <f t="shared" si="121"/>
        <v>#N/A</v>
      </c>
      <c r="BO56" s="162" t="e">
        <f t="shared" si="122"/>
        <v>#N/A</v>
      </c>
      <c r="BP56" s="162" t="e">
        <f t="shared" si="123"/>
        <v>#N/A</v>
      </c>
      <c r="BQ56" s="162" t="e">
        <f t="shared" si="124"/>
        <v>#N/A</v>
      </c>
      <c r="BR56" s="162" t="e">
        <f t="shared" si="125"/>
        <v>#N/A</v>
      </c>
      <c r="BS56" s="162" t="e">
        <f t="shared" si="126"/>
        <v>#N/A</v>
      </c>
      <c r="BT56" s="112" t="e">
        <f t="shared" si="127"/>
        <v>#N/A</v>
      </c>
      <c r="BU56" s="178" t="e">
        <f t="shared" si="128"/>
        <v>#N/A</v>
      </c>
      <c r="BV56" s="488" t="e">
        <f t="shared" si="129"/>
        <v>#N/A</v>
      </c>
      <c r="BW56" s="488" t="e">
        <f t="shared" si="138"/>
        <v>#N/A</v>
      </c>
      <c r="BX56" s="488" t="e">
        <f t="shared" si="139"/>
        <v>#N/A</v>
      </c>
      <c r="BY56" s="488" t="e">
        <f t="shared" si="140"/>
        <v>#N/A</v>
      </c>
      <c r="BZ56" s="488" t="e">
        <f t="shared" si="141"/>
        <v>#N/A</v>
      </c>
      <c r="CA56" s="178" t="e">
        <f t="shared" si="130"/>
        <v>#N/A</v>
      </c>
      <c r="CB56" s="488" t="e">
        <f t="shared" si="131"/>
        <v>#N/A</v>
      </c>
      <c r="CC56" s="488" t="e">
        <f t="shared" si="96"/>
        <v>#N/A</v>
      </c>
      <c r="CD56" s="488" t="e">
        <f t="shared" si="97"/>
        <v>#N/A</v>
      </c>
      <c r="CE56" s="488" t="e">
        <f t="shared" si="98"/>
        <v>#N/A</v>
      </c>
      <c r="CF56" s="488" t="e">
        <f t="shared" si="99"/>
        <v>#N/A</v>
      </c>
      <c r="CG56" s="178" t="e">
        <f t="shared" si="132"/>
        <v>#N/A</v>
      </c>
      <c r="CH56" s="488" t="e">
        <f t="shared" si="133"/>
        <v>#N/A</v>
      </c>
      <c r="CI56" s="488" t="e">
        <f t="shared" si="100"/>
        <v>#N/A</v>
      </c>
      <c r="CJ56" s="488" t="e">
        <f t="shared" si="101"/>
        <v>#N/A</v>
      </c>
      <c r="CK56" s="488" t="e">
        <f t="shared" si="102"/>
        <v>#N/A</v>
      </c>
      <c r="CL56" s="488" t="e">
        <f t="shared" si="103"/>
        <v>#N/A</v>
      </c>
      <c r="CM56" s="178" t="e">
        <f t="shared" si="134"/>
        <v>#N/A</v>
      </c>
      <c r="CN56" s="488" t="e">
        <f t="shared" si="135"/>
        <v>#N/A</v>
      </c>
      <c r="CO56" s="488" t="e">
        <f t="shared" si="104"/>
        <v>#N/A</v>
      </c>
      <c r="CP56" s="488" t="e">
        <f t="shared" si="105"/>
        <v>#N/A</v>
      </c>
      <c r="CQ56" s="488" t="e">
        <f t="shared" si="106"/>
        <v>#N/A</v>
      </c>
      <c r="CR56" s="488" t="e">
        <f t="shared" si="107"/>
        <v>#N/A</v>
      </c>
      <c r="CS56" s="35"/>
      <c r="CT56" s="35"/>
      <c r="CU56" s="35"/>
      <c r="CV56" s="35"/>
      <c r="CW56" s="35"/>
    </row>
    <row r="57" spans="1:101" x14ac:dyDescent="0.25">
      <c r="A57" s="319"/>
      <c r="B57" s="152">
        <f t="shared" si="136"/>
        <v>0.83333333333333304</v>
      </c>
      <c r="C57" s="429" t="e">
        <f t="shared" si="66"/>
        <v>#N/A</v>
      </c>
      <c r="D57" s="550" t="str">
        <f t="shared" si="108"/>
        <v>YES</v>
      </c>
      <c r="E57" s="178" t="e">
        <f t="shared" si="109"/>
        <v>#N/A</v>
      </c>
      <c r="F57" s="162" t="e">
        <f t="shared" si="110"/>
        <v>#N/A</v>
      </c>
      <c r="G57" s="162" t="e">
        <f t="shared" si="111"/>
        <v>#N/A</v>
      </c>
      <c r="H57" s="162" t="e">
        <f t="shared" si="112"/>
        <v>#N/A</v>
      </c>
      <c r="I57" s="162" t="e">
        <f t="shared" si="113"/>
        <v>#N/A</v>
      </c>
      <c r="J57" s="112" t="e">
        <f t="shared" si="114"/>
        <v>#N/A</v>
      </c>
      <c r="K57" s="160" t="e">
        <f t="shared" si="115"/>
        <v>#N/A</v>
      </c>
      <c r="L57" s="162" t="e">
        <f t="shared" si="68"/>
        <v>#N/A</v>
      </c>
      <c r="M57" s="162" t="e">
        <f t="shared" si="69"/>
        <v>#N/A</v>
      </c>
      <c r="N57" s="162" t="e">
        <f t="shared" si="70"/>
        <v>#N/A</v>
      </c>
      <c r="O57" s="162" t="e">
        <f t="shared" si="71"/>
        <v>#N/A</v>
      </c>
      <c r="P57" s="112" t="e">
        <f t="shared" si="72"/>
        <v>#N/A</v>
      </c>
      <c r="Q57" s="178" t="e">
        <f t="shared" si="116"/>
        <v>#N/A</v>
      </c>
      <c r="R57" s="162" t="e">
        <f t="shared" si="73"/>
        <v>#N/A</v>
      </c>
      <c r="S57" s="162" t="e">
        <f t="shared" si="74"/>
        <v>#N/A</v>
      </c>
      <c r="T57" s="162" t="e">
        <f t="shared" si="75"/>
        <v>#N/A</v>
      </c>
      <c r="U57" s="162" t="e">
        <f t="shared" si="76"/>
        <v>#N/A</v>
      </c>
      <c r="V57" s="112" t="e">
        <f t="shared" si="77"/>
        <v>#N/A</v>
      </c>
      <c r="W57" s="178" t="e">
        <f t="shared" si="117"/>
        <v>#N/A</v>
      </c>
      <c r="X57" s="162" t="e">
        <f t="shared" si="78"/>
        <v>#N/A</v>
      </c>
      <c r="Y57" s="162" t="e">
        <f t="shared" si="79"/>
        <v>#N/A</v>
      </c>
      <c r="Z57" s="162" t="e">
        <f t="shared" si="80"/>
        <v>#N/A</v>
      </c>
      <c r="AA57" s="162" t="e">
        <f t="shared" si="81"/>
        <v>#N/A</v>
      </c>
      <c r="AB57" s="112" t="e">
        <f t="shared" si="82"/>
        <v>#N/A</v>
      </c>
      <c r="AC57" s="178" t="e">
        <f t="shared" si="118"/>
        <v>#N/A</v>
      </c>
      <c r="AD57" s="162" t="e">
        <f t="shared" si="83"/>
        <v>#N/A</v>
      </c>
      <c r="AE57" s="162" t="e">
        <f t="shared" si="84"/>
        <v>#N/A</v>
      </c>
      <c r="AF57" s="162" t="e">
        <f t="shared" si="85"/>
        <v>#N/A</v>
      </c>
      <c r="AG57" s="162" t="e">
        <f t="shared" si="86"/>
        <v>#N/A</v>
      </c>
      <c r="AH57" s="162" t="e">
        <f t="shared" si="87"/>
        <v>#N/A</v>
      </c>
      <c r="AI57" s="35"/>
      <c r="AJ57" s="166" t="s">
        <v>270</v>
      </c>
      <c r="AK57" s="166" t="s">
        <v>270</v>
      </c>
      <c r="AL57" s="166" t="s">
        <v>270</v>
      </c>
      <c r="AM57" s="166" t="s">
        <v>270</v>
      </c>
      <c r="AN57" s="166" t="s">
        <v>270</v>
      </c>
      <c r="AO57" s="166" t="s">
        <v>270</v>
      </c>
      <c r="AP57" s="208" t="s">
        <v>270</v>
      </c>
      <c r="AQ57" s="162" t="e">
        <f t="shared" si="88"/>
        <v>#N/A</v>
      </c>
      <c r="AR57" s="162" t="e">
        <f t="shared" si="119"/>
        <v>#N/A</v>
      </c>
      <c r="AS57" s="162" t="e">
        <f t="shared" si="119"/>
        <v>#N/A</v>
      </c>
      <c r="AT57" s="162" t="e">
        <f t="shared" si="119"/>
        <v>#N/A</v>
      </c>
      <c r="AU57" s="162" t="e">
        <f t="shared" si="119"/>
        <v>#N/A</v>
      </c>
      <c r="AV57" s="208" t="s">
        <v>270</v>
      </c>
      <c r="AW57" s="162" t="e">
        <f t="shared" si="90"/>
        <v>#N/A</v>
      </c>
      <c r="AX57" s="162" t="e">
        <f t="shared" si="120"/>
        <v>#N/A</v>
      </c>
      <c r="AY57" s="162" t="e">
        <f t="shared" si="120"/>
        <v>#N/A</v>
      </c>
      <c r="AZ57" s="162" t="e">
        <f t="shared" si="120"/>
        <v>#N/A</v>
      </c>
      <c r="BA57" s="162" t="e">
        <f t="shared" si="120"/>
        <v>#N/A</v>
      </c>
      <c r="BB57" s="208" t="s">
        <v>270</v>
      </c>
      <c r="BC57" s="162" t="e">
        <f t="shared" si="137"/>
        <v>#N/A</v>
      </c>
      <c r="BD57" s="162" t="e">
        <f t="shared" si="137"/>
        <v>#N/A</v>
      </c>
      <c r="BE57" s="162" t="e">
        <f t="shared" si="137"/>
        <v>#N/A</v>
      </c>
      <c r="BF57" s="162" t="e">
        <f>IF(RANK($C57,$C$37:$C$60)&gt;ABS(BF$61),0,(BF$61/ABS(BF$61)))</f>
        <v>#N/A</v>
      </c>
      <c r="BG57" s="162" t="e">
        <f t="shared" si="137"/>
        <v>#N/A</v>
      </c>
      <c r="BH57" s="208" t="s">
        <v>270</v>
      </c>
      <c r="BI57" s="162" t="e">
        <f t="shared" si="121"/>
        <v>#N/A</v>
      </c>
      <c r="BJ57" s="162" t="e">
        <f t="shared" si="121"/>
        <v>#N/A</v>
      </c>
      <c r="BK57" s="162" t="e">
        <f t="shared" si="121"/>
        <v>#N/A</v>
      </c>
      <c r="BL57" s="162" t="e">
        <f>IF(RANK($C57,$C$37:$C$60)&gt;ABS(BL$61),0,(BL$61/ABS(BL$61)))</f>
        <v>#N/A</v>
      </c>
      <c r="BM57" s="162" t="e">
        <f t="shared" si="121"/>
        <v>#N/A</v>
      </c>
      <c r="BO57" s="162" t="e">
        <f t="shared" si="122"/>
        <v>#N/A</v>
      </c>
      <c r="BP57" s="162" t="e">
        <f t="shared" si="123"/>
        <v>#N/A</v>
      </c>
      <c r="BQ57" s="162" t="e">
        <f t="shared" si="124"/>
        <v>#N/A</v>
      </c>
      <c r="BR57" s="162" t="e">
        <f t="shared" si="125"/>
        <v>#N/A</v>
      </c>
      <c r="BS57" s="162" t="e">
        <f t="shared" si="126"/>
        <v>#N/A</v>
      </c>
      <c r="BT57" s="112" t="e">
        <f t="shared" si="127"/>
        <v>#N/A</v>
      </c>
      <c r="BU57" s="178" t="e">
        <f t="shared" si="128"/>
        <v>#N/A</v>
      </c>
      <c r="BV57" s="488" t="e">
        <f t="shared" si="129"/>
        <v>#N/A</v>
      </c>
      <c r="BW57" s="488" t="e">
        <f t="shared" si="138"/>
        <v>#N/A</v>
      </c>
      <c r="BX57" s="488" t="e">
        <f t="shared" si="139"/>
        <v>#N/A</v>
      </c>
      <c r="BY57" s="488" t="e">
        <f t="shared" si="140"/>
        <v>#N/A</v>
      </c>
      <c r="BZ57" s="488" t="e">
        <f t="shared" si="141"/>
        <v>#N/A</v>
      </c>
      <c r="CA57" s="178" t="e">
        <f t="shared" si="130"/>
        <v>#N/A</v>
      </c>
      <c r="CB57" s="488" t="e">
        <f t="shared" si="131"/>
        <v>#N/A</v>
      </c>
      <c r="CC57" s="488" t="e">
        <f t="shared" si="96"/>
        <v>#N/A</v>
      </c>
      <c r="CD57" s="488" t="e">
        <f t="shared" si="97"/>
        <v>#N/A</v>
      </c>
      <c r="CE57" s="488" t="e">
        <f t="shared" si="98"/>
        <v>#N/A</v>
      </c>
      <c r="CF57" s="488" t="e">
        <f t="shared" si="99"/>
        <v>#N/A</v>
      </c>
      <c r="CG57" s="178" t="e">
        <f t="shared" si="132"/>
        <v>#N/A</v>
      </c>
      <c r="CH57" s="488" t="e">
        <f t="shared" si="133"/>
        <v>#N/A</v>
      </c>
      <c r="CI57" s="488" t="e">
        <f t="shared" si="100"/>
        <v>#N/A</v>
      </c>
      <c r="CJ57" s="488" t="e">
        <f t="shared" si="101"/>
        <v>#N/A</v>
      </c>
      <c r="CK57" s="488" t="e">
        <f t="shared" si="102"/>
        <v>#N/A</v>
      </c>
      <c r="CL57" s="488" t="e">
        <f t="shared" si="103"/>
        <v>#N/A</v>
      </c>
      <c r="CM57" s="178" t="e">
        <f t="shared" si="134"/>
        <v>#N/A</v>
      </c>
      <c r="CN57" s="488" t="e">
        <f t="shared" si="135"/>
        <v>#N/A</v>
      </c>
      <c r="CO57" s="488" t="e">
        <f t="shared" si="104"/>
        <v>#N/A</v>
      </c>
      <c r="CP57" s="488" t="e">
        <f t="shared" si="105"/>
        <v>#N/A</v>
      </c>
      <c r="CQ57" s="488" t="e">
        <f t="shared" si="106"/>
        <v>#N/A</v>
      </c>
      <c r="CR57" s="488" t="e">
        <f t="shared" si="107"/>
        <v>#N/A</v>
      </c>
      <c r="CS57" s="35"/>
      <c r="CT57" s="35"/>
      <c r="CU57" s="35"/>
      <c r="CV57" s="35"/>
      <c r="CW57" s="35"/>
    </row>
    <row r="58" spans="1:101" x14ac:dyDescent="0.25">
      <c r="A58" s="319"/>
      <c r="B58" s="152">
        <f t="shared" si="136"/>
        <v>0.87499999999999967</v>
      </c>
      <c r="C58" s="429" t="e">
        <f t="shared" si="66"/>
        <v>#N/A</v>
      </c>
      <c r="D58" s="550" t="str">
        <f t="shared" si="108"/>
        <v>YES</v>
      </c>
      <c r="E58" s="178" t="e">
        <f t="shared" si="109"/>
        <v>#N/A</v>
      </c>
      <c r="F58" s="162" t="e">
        <f t="shared" si="110"/>
        <v>#N/A</v>
      </c>
      <c r="G58" s="162" t="e">
        <f t="shared" si="111"/>
        <v>#N/A</v>
      </c>
      <c r="H58" s="162" t="e">
        <f t="shared" si="112"/>
        <v>#N/A</v>
      </c>
      <c r="I58" s="162" t="e">
        <f t="shared" si="113"/>
        <v>#N/A</v>
      </c>
      <c r="J58" s="112" t="e">
        <f t="shared" si="114"/>
        <v>#N/A</v>
      </c>
      <c r="K58" s="160" t="e">
        <f t="shared" si="115"/>
        <v>#N/A</v>
      </c>
      <c r="L58" s="162" t="e">
        <f t="shared" si="68"/>
        <v>#N/A</v>
      </c>
      <c r="M58" s="162" t="e">
        <f t="shared" si="69"/>
        <v>#N/A</v>
      </c>
      <c r="N58" s="162" t="e">
        <f t="shared" si="70"/>
        <v>#N/A</v>
      </c>
      <c r="O58" s="162" t="e">
        <f t="shared" si="71"/>
        <v>#N/A</v>
      </c>
      <c r="P58" s="112" t="e">
        <f t="shared" si="72"/>
        <v>#N/A</v>
      </c>
      <c r="Q58" s="178" t="e">
        <f t="shared" si="116"/>
        <v>#N/A</v>
      </c>
      <c r="R58" s="162" t="e">
        <f t="shared" si="73"/>
        <v>#N/A</v>
      </c>
      <c r="S58" s="162" t="e">
        <f t="shared" si="74"/>
        <v>#N/A</v>
      </c>
      <c r="T58" s="162" t="e">
        <f t="shared" si="75"/>
        <v>#N/A</v>
      </c>
      <c r="U58" s="162" t="e">
        <f t="shared" si="76"/>
        <v>#N/A</v>
      </c>
      <c r="V58" s="112" t="e">
        <f t="shared" si="77"/>
        <v>#N/A</v>
      </c>
      <c r="W58" s="178" t="e">
        <f t="shared" si="117"/>
        <v>#N/A</v>
      </c>
      <c r="X58" s="162" t="e">
        <f t="shared" si="78"/>
        <v>#N/A</v>
      </c>
      <c r="Y58" s="162" t="e">
        <f t="shared" si="79"/>
        <v>#N/A</v>
      </c>
      <c r="Z58" s="162" t="e">
        <f t="shared" si="80"/>
        <v>#N/A</v>
      </c>
      <c r="AA58" s="162" t="e">
        <f t="shared" si="81"/>
        <v>#N/A</v>
      </c>
      <c r="AB58" s="112" t="e">
        <f t="shared" si="82"/>
        <v>#N/A</v>
      </c>
      <c r="AC58" s="178" t="e">
        <f t="shared" si="118"/>
        <v>#N/A</v>
      </c>
      <c r="AD58" s="162" t="e">
        <f t="shared" si="83"/>
        <v>#N/A</v>
      </c>
      <c r="AE58" s="162" t="e">
        <f t="shared" si="84"/>
        <v>#N/A</v>
      </c>
      <c r="AF58" s="162" t="e">
        <f t="shared" si="85"/>
        <v>#N/A</v>
      </c>
      <c r="AG58" s="162" t="e">
        <f t="shared" si="86"/>
        <v>#N/A</v>
      </c>
      <c r="AH58" s="162" t="e">
        <f t="shared" si="87"/>
        <v>#N/A</v>
      </c>
      <c r="AI58" s="35"/>
      <c r="AJ58" s="166" t="s">
        <v>270</v>
      </c>
      <c r="AK58" s="166" t="s">
        <v>270</v>
      </c>
      <c r="AL58" s="166" t="s">
        <v>270</v>
      </c>
      <c r="AM58" s="166" t="s">
        <v>270</v>
      </c>
      <c r="AN58" s="166" t="s">
        <v>270</v>
      </c>
      <c r="AO58" s="166" t="s">
        <v>270</v>
      </c>
      <c r="AP58" s="208" t="s">
        <v>270</v>
      </c>
      <c r="AQ58" s="162" t="e">
        <f t="shared" si="88"/>
        <v>#N/A</v>
      </c>
      <c r="AR58" s="162" t="e">
        <f t="shared" si="119"/>
        <v>#N/A</v>
      </c>
      <c r="AS58" s="162" t="e">
        <f t="shared" si="119"/>
        <v>#N/A</v>
      </c>
      <c r="AT58" s="162" t="e">
        <f t="shared" si="119"/>
        <v>#N/A</v>
      </c>
      <c r="AU58" s="162" t="e">
        <f t="shared" si="119"/>
        <v>#N/A</v>
      </c>
      <c r="AV58" s="208" t="s">
        <v>270</v>
      </c>
      <c r="AW58" s="162" t="e">
        <f t="shared" si="90"/>
        <v>#N/A</v>
      </c>
      <c r="AX58" s="162" t="e">
        <f t="shared" si="120"/>
        <v>#N/A</v>
      </c>
      <c r="AY58" s="162" t="e">
        <f t="shared" si="120"/>
        <v>#N/A</v>
      </c>
      <c r="AZ58" s="162" t="e">
        <f t="shared" si="120"/>
        <v>#N/A</v>
      </c>
      <c r="BA58" s="162" t="e">
        <f t="shared" si="120"/>
        <v>#N/A</v>
      </c>
      <c r="BB58" s="208" t="s">
        <v>270</v>
      </c>
      <c r="BC58" s="162" t="e">
        <f t="shared" si="137"/>
        <v>#N/A</v>
      </c>
      <c r="BD58" s="162" t="e">
        <f t="shared" si="137"/>
        <v>#N/A</v>
      </c>
      <c r="BE58" s="162" t="e">
        <f t="shared" si="137"/>
        <v>#N/A</v>
      </c>
      <c r="BF58" s="162" t="e">
        <f t="shared" si="137"/>
        <v>#N/A</v>
      </c>
      <c r="BG58" s="162" t="e">
        <f t="shared" si="137"/>
        <v>#N/A</v>
      </c>
      <c r="BH58" s="208" t="s">
        <v>270</v>
      </c>
      <c r="BI58" s="162" t="e">
        <f t="shared" si="121"/>
        <v>#N/A</v>
      </c>
      <c r="BJ58" s="162" t="e">
        <f t="shared" si="121"/>
        <v>#N/A</v>
      </c>
      <c r="BK58" s="162" t="e">
        <f t="shared" si="121"/>
        <v>#N/A</v>
      </c>
      <c r="BL58" s="162" t="e">
        <f t="shared" si="121"/>
        <v>#N/A</v>
      </c>
      <c r="BM58" s="162" t="e">
        <f t="shared" si="121"/>
        <v>#N/A</v>
      </c>
      <c r="BO58" s="162" t="e">
        <f t="shared" si="122"/>
        <v>#N/A</v>
      </c>
      <c r="BP58" s="162" t="e">
        <f t="shared" si="123"/>
        <v>#N/A</v>
      </c>
      <c r="BQ58" s="162" t="e">
        <f t="shared" si="124"/>
        <v>#N/A</v>
      </c>
      <c r="BR58" s="162" t="e">
        <f t="shared" si="125"/>
        <v>#N/A</v>
      </c>
      <c r="BS58" s="162" t="e">
        <f t="shared" si="126"/>
        <v>#N/A</v>
      </c>
      <c r="BT58" s="112" t="e">
        <f t="shared" si="127"/>
        <v>#N/A</v>
      </c>
      <c r="BU58" s="178" t="e">
        <f t="shared" si="128"/>
        <v>#N/A</v>
      </c>
      <c r="BV58" s="488" t="e">
        <f t="shared" si="129"/>
        <v>#N/A</v>
      </c>
      <c r="BW58" s="488" t="e">
        <f t="shared" si="138"/>
        <v>#N/A</v>
      </c>
      <c r="BX58" s="488" t="e">
        <f t="shared" si="139"/>
        <v>#N/A</v>
      </c>
      <c r="BY58" s="488" t="e">
        <f t="shared" si="140"/>
        <v>#N/A</v>
      </c>
      <c r="BZ58" s="488" t="e">
        <f t="shared" si="141"/>
        <v>#N/A</v>
      </c>
      <c r="CA58" s="178" t="e">
        <f t="shared" si="130"/>
        <v>#N/A</v>
      </c>
      <c r="CB58" s="488" t="e">
        <f t="shared" si="131"/>
        <v>#N/A</v>
      </c>
      <c r="CC58" s="488" t="e">
        <f t="shared" si="96"/>
        <v>#N/A</v>
      </c>
      <c r="CD58" s="488" t="e">
        <f t="shared" si="97"/>
        <v>#N/A</v>
      </c>
      <c r="CE58" s="488" t="e">
        <f t="shared" si="98"/>
        <v>#N/A</v>
      </c>
      <c r="CF58" s="488" t="e">
        <f t="shared" si="99"/>
        <v>#N/A</v>
      </c>
      <c r="CG58" s="178" t="e">
        <f t="shared" si="132"/>
        <v>#N/A</v>
      </c>
      <c r="CH58" s="488" t="e">
        <f t="shared" si="133"/>
        <v>#N/A</v>
      </c>
      <c r="CI58" s="488" t="e">
        <f t="shared" si="100"/>
        <v>#N/A</v>
      </c>
      <c r="CJ58" s="488" t="e">
        <f t="shared" si="101"/>
        <v>#N/A</v>
      </c>
      <c r="CK58" s="488" t="e">
        <f t="shared" si="102"/>
        <v>#N/A</v>
      </c>
      <c r="CL58" s="488" t="e">
        <f t="shared" si="103"/>
        <v>#N/A</v>
      </c>
      <c r="CM58" s="178" t="e">
        <f t="shared" si="134"/>
        <v>#N/A</v>
      </c>
      <c r="CN58" s="488" t="e">
        <f t="shared" si="135"/>
        <v>#N/A</v>
      </c>
      <c r="CO58" s="488" t="e">
        <f t="shared" si="104"/>
        <v>#N/A</v>
      </c>
      <c r="CP58" s="488" t="e">
        <f t="shared" si="105"/>
        <v>#N/A</v>
      </c>
      <c r="CQ58" s="488" t="e">
        <f t="shared" si="106"/>
        <v>#N/A</v>
      </c>
      <c r="CR58" s="488" t="e">
        <f t="shared" si="107"/>
        <v>#N/A</v>
      </c>
      <c r="CS58" s="35"/>
      <c r="CT58" s="35"/>
      <c r="CU58" s="35"/>
      <c r="CV58" s="35"/>
      <c r="CW58" s="35"/>
    </row>
    <row r="59" spans="1:101" x14ac:dyDescent="0.25">
      <c r="A59" s="319"/>
      <c r="B59" s="152">
        <f t="shared" si="136"/>
        <v>0.9166666666666663</v>
      </c>
      <c r="C59" s="429" t="e">
        <f t="shared" si="66"/>
        <v>#N/A</v>
      </c>
      <c r="D59" s="550" t="str">
        <f t="shared" si="108"/>
        <v>YES</v>
      </c>
      <c r="E59" s="178" t="e">
        <f t="shared" si="109"/>
        <v>#N/A</v>
      </c>
      <c r="F59" s="162" t="e">
        <f t="shared" si="110"/>
        <v>#N/A</v>
      </c>
      <c r="G59" s="162" t="e">
        <f t="shared" si="111"/>
        <v>#N/A</v>
      </c>
      <c r="H59" s="162" t="e">
        <f t="shared" si="112"/>
        <v>#N/A</v>
      </c>
      <c r="I59" s="162" t="e">
        <f t="shared" si="113"/>
        <v>#N/A</v>
      </c>
      <c r="J59" s="112" t="e">
        <f t="shared" si="114"/>
        <v>#N/A</v>
      </c>
      <c r="K59" s="160" t="e">
        <f t="shared" si="115"/>
        <v>#N/A</v>
      </c>
      <c r="L59" s="162" t="e">
        <f t="shared" si="68"/>
        <v>#N/A</v>
      </c>
      <c r="M59" s="162" t="e">
        <f t="shared" si="69"/>
        <v>#N/A</v>
      </c>
      <c r="N59" s="162" t="e">
        <f t="shared" si="70"/>
        <v>#N/A</v>
      </c>
      <c r="O59" s="162" t="e">
        <f t="shared" si="71"/>
        <v>#N/A</v>
      </c>
      <c r="P59" s="112" t="e">
        <f t="shared" si="72"/>
        <v>#N/A</v>
      </c>
      <c r="Q59" s="178" t="e">
        <f t="shared" si="116"/>
        <v>#N/A</v>
      </c>
      <c r="R59" s="162" t="e">
        <f t="shared" si="73"/>
        <v>#N/A</v>
      </c>
      <c r="S59" s="162" t="e">
        <f t="shared" si="74"/>
        <v>#N/A</v>
      </c>
      <c r="T59" s="162" t="e">
        <f t="shared" si="75"/>
        <v>#N/A</v>
      </c>
      <c r="U59" s="162" t="e">
        <f t="shared" si="76"/>
        <v>#N/A</v>
      </c>
      <c r="V59" s="112" t="e">
        <f t="shared" si="77"/>
        <v>#N/A</v>
      </c>
      <c r="W59" s="178" t="e">
        <f t="shared" si="117"/>
        <v>#N/A</v>
      </c>
      <c r="X59" s="162" t="e">
        <f t="shared" si="78"/>
        <v>#N/A</v>
      </c>
      <c r="Y59" s="162" t="e">
        <f t="shared" si="79"/>
        <v>#N/A</v>
      </c>
      <c r="Z59" s="162" t="e">
        <f t="shared" si="80"/>
        <v>#N/A</v>
      </c>
      <c r="AA59" s="162" t="e">
        <f t="shared" si="81"/>
        <v>#N/A</v>
      </c>
      <c r="AB59" s="112" t="e">
        <f t="shared" si="82"/>
        <v>#N/A</v>
      </c>
      <c r="AC59" s="178" t="e">
        <f t="shared" si="118"/>
        <v>#N/A</v>
      </c>
      <c r="AD59" s="162" t="e">
        <f t="shared" si="83"/>
        <v>#N/A</v>
      </c>
      <c r="AE59" s="162" t="e">
        <f t="shared" si="84"/>
        <v>#N/A</v>
      </c>
      <c r="AF59" s="162" t="e">
        <f t="shared" si="85"/>
        <v>#N/A</v>
      </c>
      <c r="AG59" s="162" t="e">
        <f t="shared" si="86"/>
        <v>#N/A</v>
      </c>
      <c r="AH59" s="162" t="e">
        <f t="shared" si="87"/>
        <v>#N/A</v>
      </c>
      <c r="AI59" s="35"/>
      <c r="AJ59" s="166" t="s">
        <v>270</v>
      </c>
      <c r="AK59" s="166" t="s">
        <v>270</v>
      </c>
      <c r="AL59" s="166" t="s">
        <v>270</v>
      </c>
      <c r="AM59" s="166" t="s">
        <v>270</v>
      </c>
      <c r="AN59" s="166" t="s">
        <v>270</v>
      </c>
      <c r="AO59" s="166" t="s">
        <v>270</v>
      </c>
      <c r="AP59" s="208" t="s">
        <v>270</v>
      </c>
      <c r="AQ59" s="162" t="e">
        <f t="shared" si="88"/>
        <v>#N/A</v>
      </c>
      <c r="AR59" s="162" t="e">
        <f t="shared" si="119"/>
        <v>#N/A</v>
      </c>
      <c r="AS59" s="162" t="e">
        <f t="shared" si="119"/>
        <v>#N/A</v>
      </c>
      <c r="AT59" s="162" t="e">
        <f t="shared" si="119"/>
        <v>#N/A</v>
      </c>
      <c r="AU59" s="162" t="e">
        <f t="shared" si="119"/>
        <v>#N/A</v>
      </c>
      <c r="AV59" s="208" t="s">
        <v>270</v>
      </c>
      <c r="AW59" s="162" t="e">
        <f t="shared" si="90"/>
        <v>#N/A</v>
      </c>
      <c r="AX59" s="162" t="e">
        <f t="shared" si="120"/>
        <v>#N/A</v>
      </c>
      <c r="AY59" s="162" t="e">
        <f t="shared" si="120"/>
        <v>#N/A</v>
      </c>
      <c r="AZ59" s="162" t="e">
        <f t="shared" si="120"/>
        <v>#N/A</v>
      </c>
      <c r="BA59" s="162" t="e">
        <f t="shared" si="120"/>
        <v>#N/A</v>
      </c>
      <c r="BB59" s="208" t="s">
        <v>270</v>
      </c>
      <c r="BC59" s="162" t="e">
        <f t="shared" si="137"/>
        <v>#N/A</v>
      </c>
      <c r="BD59" s="162" t="e">
        <f t="shared" si="137"/>
        <v>#N/A</v>
      </c>
      <c r="BE59" s="162" t="e">
        <f t="shared" si="137"/>
        <v>#N/A</v>
      </c>
      <c r="BF59" s="162" t="e">
        <f t="shared" si="137"/>
        <v>#N/A</v>
      </c>
      <c r="BG59" s="162" t="e">
        <f t="shared" si="137"/>
        <v>#N/A</v>
      </c>
      <c r="BH59" s="208" t="s">
        <v>270</v>
      </c>
      <c r="BI59" s="162" t="e">
        <f t="shared" si="121"/>
        <v>#N/A</v>
      </c>
      <c r="BJ59" s="162" t="e">
        <f t="shared" si="121"/>
        <v>#N/A</v>
      </c>
      <c r="BK59" s="162" t="e">
        <f t="shared" si="121"/>
        <v>#N/A</v>
      </c>
      <c r="BL59" s="162" t="e">
        <f t="shared" si="121"/>
        <v>#N/A</v>
      </c>
      <c r="BM59" s="162" t="e">
        <f t="shared" si="121"/>
        <v>#N/A</v>
      </c>
      <c r="BO59" s="162" t="e">
        <f t="shared" si="122"/>
        <v>#N/A</v>
      </c>
      <c r="BP59" s="162" t="e">
        <f t="shared" si="123"/>
        <v>#N/A</v>
      </c>
      <c r="BQ59" s="162" t="e">
        <f t="shared" si="124"/>
        <v>#N/A</v>
      </c>
      <c r="BR59" s="162" t="e">
        <f t="shared" si="125"/>
        <v>#N/A</v>
      </c>
      <c r="BS59" s="162" t="e">
        <f t="shared" si="126"/>
        <v>#N/A</v>
      </c>
      <c r="BT59" s="112" t="e">
        <f t="shared" si="127"/>
        <v>#N/A</v>
      </c>
      <c r="BU59" s="178" t="e">
        <f t="shared" si="128"/>
        <v>#N/A</v>
      </c>
      <c r="BV59" s="488" t="e">
        <f t="shared" si="129"/>
        <v>#N/A</v>
      </c>
      <c r="BW59" s="488" t="e">
        <f t="shared" si="138"/>
        <v>#N/A</v>
      </c>
      <c r="BX59" s="488" t="e">
        <f t="shared" si="139"/>
        <v>#N/A</v>
      </c>
      <c r="BY59" s="488" t="e">
        <f t="shared" si="140"/>
        <v>#N/A</v>
      </c>
      <c r="BZ59" s="488" t="e">
        <f t="shared" si="141"/>
        <v>#N/A</v>
      </c>
      <c r="CA59" s="178" t="e">
        <f t="shared" si="130"/>
        <v>#N/A</v>
      </c>
      <c r="CB59" s="488" t="e">
        <f t="shared" si="131"/>
        <v>#N/A</v>
      </c>
      <c r="CC59" s="488" t="e">
        <f t="shared" si="96"/>
        <v>#N/A</v>
      </c>
      <c r="CD59" s="488" t="e">
        <f t="shared" si="97"/>
        <v>#N/A</v>
      </c>
      <c r="CE59" s="488" t="e">
        <f t="shared" si="98"/>
        <v>#N/A</v>
      </c>
      <c r="CF59" s="488" t="e">
        <f t="shared" si="99"/>
        <v>#N/A</v>
      </c>
      <c r="CG59" s="178" t="e">
        <f t="shared" si="132"/>
        <v>#N/A</v>
      </c>
      <c r="CH59" s="488" t="e">
        <f t="shared" si="133"/>
        <v>#N/A</v>
      </c>
      <c r="CI59" s="488" t="e">
        <f t="shared" si="100"/>
        <v>#N/A</v>
      </c>
      <c r="CJ59" s="488" t="e">
        <f t="shared" si="101"/>
        <v>#N/A</v>
      </c>
      <c r="CK59" s="488" t="e">
        <f t="shared" si="102"/>
        <v>#N/A</v>
      </c>
      <c r="CL59" s="488" t="e">
        <f t="shared" si="103"/>
        <v>#N/A</v>
      </c>
      <c r="CM59" s="178" t="e">
        <f t="shared" si="134"/>
        <v>#N/A</v>
      </c>
      <c r="CN59" s="488" t="e">
        <f t="shared" si="135"/>
        <v>#N/A</v>
      </c>
      <c r="CO59" s="488" t="e">
        <f t="shared" si="104"/>
        <v>#N/A</v>
      </c>
      <c r="CP59" s="488" t="e">
        <f t="shared" si="105"/>
        <v>#N/A</v>
      </c>
      <c r="CQ59" s="488" t="e">
        <f t="shared" si="106"/>
        <v>#N/A</v>
      </c>
      <c r="CR59" s="488" t="e">
        <f t="shared" si="107"/>
        <v>#N/A</v>
      </c>
      <c r="CS59" s="35"/>
      <c r="CT59" s="35"/>
      <c r="CU59" s="35"/>
      <c r="CV59" s="35"/>
      <c r="CW59" s="35"/>
    </row>
    <row r="60" spans="1:101" x14ac:dyDescent="0.25">
      <c r="A60" s="319"/>
      <c r="B60" s="152">
        <f t="shared" si="136"/>
        <v>0.95833333333333293</v>
      </c>
      <c r="C60" s="429" t="e">
        <f t="shared" si="66"/>
        <v>#N/A</v>
      </c>
      <c r="D60" s="550" t="str">
        <f t="shared" si="108"/>
        <v>YES</v>
      </c>
      <c r="E60" s="178" t="e">
        <f t="shared" si="109"/>
        <v>#N/A</v>
      </c>
      <c r="F60" s="162" t="e">
        <f t="shared" si="110"/>
        <v>#N/A</v>
      </c>
      <c r="G60" s="162" t="e">
        <f t="shared" si="111"/>
        <v>#N/A</v>
      </c>
      <c r="H60" s="162" t="e">
        <f t="shared" si="112"/>
        <v>#N/A</v>
      </c>
      <c r="I60" s="162" t="e">
        <f t="shared" si="113"/>
        <v>#N/A</v>
      </c>
      <c r="J60" s="112" t="e">
        <f t="shared" si="114"/>
        <v>#N/A</v>
      </c>
      <c r="K60" s="160" t="e">
        <f t="shared" si="115"/>
        <v>#N/A</v>
      </c>
      <c r="L60" s="162" t="e">
        <f t="shared" si="68"/>
        <v>#N/A</v>
      </c>
      <c r="M60" s="162" t="e">
        <f t="shared" si="69"/>
        <v>#N/A</v>
      </c>
      <c r="N60" s="162" t="e">
        <f t="shared" si="70"/>
        <v>#N/A</v>
      </c>
      <c r="O60" s="162" t="e">
        <f t="shared" si="71"/>
        <v>#N/A</v>
      </c>
      <c r="P60" s="112" t="e">
        <f t="shared" si="72"/>
        <v>#N/A</v>
      </c>
      <c r="Q60" s="178" t="e">
        <f t="shared" si="116"/>
        <v>#N/A</v>
      </c>
      <c r="R60" s="162" t="e">
        <f t="shared" si="73"/>
        <v>#N/A</v>
      </c>
      <c r="S60" s="162" t="e">
        <f t="shared" si="74"/>
        <v>#N/A</v>
      </c>
      <c r="T60" s="162" t="e">
        <f t="shared" si="75"/>
        <v>#N/A</v>
      </c>
      <c r="U60" s="162" t="e">
        <f t="shared" si="76"/>
        <v>#N/A</v>
      </c>
      <c r="V60" s="112" t="e">
        <f t="shared" si="77"/>
        <v>#N/A</v>
      </c>
      <c r="W60" s="178" t="e">
        <f t="shared" si="117"/>
        <v>#N/A</v>
      </c>
      <c r="X60" s="162" t="e">
        <f t="shared" si="78"/>
        <v>#N/A</v>
      </c>
      <c r="Y60" s="162" t="e">
        <f t="shared" si="79"/>
        <v>#N/A</v>
      </c>
      <c r="Z60" s="162" t="e">
        <f t="shared" si="80"/>
        <v>#N/A</v>
      </c>
      <c r="AA60" s="162" t="e">
        <f t="shared" si="81"/>
        <v>#N/A</v>
      </c>
      <c r="AB60" s="112" t="e">
        <f t="shared" si="82"/>
        <v>#N/A</v>
      </c>
      <c r="AC60" s="178" t="e">
        <f t="shared" si="118"/>
        <v>#N/A</v>
      </c>
      <c r="AD60" s="162" t="e">
        <f t="shared" si="83"/>
        <v>#N/A</v>
      </c>
      <c r="AE60" s="162" t="e">
        <f t="shared" si="84"/>
        <v>#N/A</v>
      </c>
      <c r="AF60" s="162" t="e">
        <f t="shared" si="85"/>
        <v>#N/A</v>
      </c>
      <c r="AG60" s="162" t="e">
        <f t="shared" si="86"/>
        <v>#N/A</v>
      </c>
      <c r="AH60" s="162" t="e">
        <f t="shared" si="87"/>
        <v>#N/A</v>
      </c>
      <c r="AI60" s="35"/>
      <c r="AJ60" s="166" t="s">
        <v>270</v>
      </c>
      <c r="AK60" s="166" t="s">
        <v>270</v>
      </c>
      <c r="AL60" s="166" t="s">
        <v>270</v>
      </c>
      <c r="AM60" s="166" t="s">
        <v>270</v>
      </c>
      <c r="AN60" s="166" t="s">
        <v>270</v>
      </c>
      <c r="AO60" s="166" t="s">
        <v>270</v>
      </c>
      <c r="AP60" s="208" t="s">
        <v>270</v>
      </c>
      <c r="AQ60" s="162" t="e">
        <f t="shared" si="88"/>
        <v>#N/A</v>
      </c>
      <c r="AR60" s="162" t="e">
        <f t="shared" si="119"/>
        <v>#N/A</v>
      </c>
      <c r="AS60" s="162" t="e">
        <f t="shared" si="119"/>
        <v>#N/A</v>
      </c>
      <c r="AT60" s="162" t="e">
        <f t="shared" si="119"/>
        <v>#N/A</v>
      </c>
      <c r="AU60" s="162" t="e">
        <f t="shared" si="119"/>
        <v>#N/A</v>
      </c>
      <c r="AV60" s="208" t="s">
        <v>270</v>
      </c>
      <c r="AW60" s="162" t="e">
        <f t="shared" si="90"/>
        <v>#N/A</v>
      </c>
      <c r="AX60" s="162" t="e">
        <f t="shared" si="120"/>
        <v>#N/A</v>
      </c>
      <c r="AY60" s="162" t="e">
        <f t="shared" si="120"/>
        <v>#N/A</v>
      </c>
      <c r="AZ60" s="162" t="e">
        <f t="shared" si="120"/>
        <v>#N/A</v>
      </c>
      <c r="BA60" s="162" t="e">
        <f t="shared" si="120"/>
        <v>#N/A</v>
      </c>
      <c r="BB60" s="208" t="s">
        <v>270</v>
      </c>
      <c r="BC60" s="162" t="e">
        <f t="shared" si="137"/>
        <v>#N/A</v>
      </c>
      <c r="BD60" s="162" t="e">
        <f t="shared" si="137"/>
        <v>#N/A</v>
      </c>
      <c r="BE60" s="162" t="e">
        <f t="shared" si="137"/>
        <v>#N/A</v>
      </c>
      <c r="BF60" s="162" t="e">
        <f t="shared" si="137"/>
        <v>#N/A</v>
      </c>
      <c r="BG60" s="162" t="e">
        <f t="shared" si="137"/>
        <v>#N/A</v>
      </c>
      <c r="BH60" s="208" t="s">
        <v>270</v>
      </c>
      <c r="BI60" s="162" t="e">
        <f t="shared" si="121"/>
        <v>#N/A</v>
      </c>
      <c r="BJ60" s="162" t="e">
        <f t="shared" si="121"/>
        <v>#N/A</v>
      </c>
      <c r="BK60" s="162" t="e">
        <f t="shared" si="121"/>
        <v>#N/A</v>
      </c>
      <c r="BL60" s="162" t="e">
        <f t="shared" si="121"/>
        <v>#N/A</v>
      </c>
      <c r="BM60" s="162" t="e">
        <f t="shared" si="121"/>
        <v>#N/A</v>
      </c>
      <c r="BO60" s="162" t="e">
        <f t="shared" si="122"/>
        <v>#N/A</v>
      </c>
      <c r="BP60" s="162" t="e">
        <f t="shared" si="123"/>
        <v>#N/A</v>
      </c>
      <c r="BQ60" s="162" t="e">
        <f t="shared" si="124"/>
        <v>#N/A</v>
      </c>
      <c r="BR60" s="162" t="e">
        <f t="shared" si="125"/>
        <v>#N/A</v>
      </c>
      <c r="BS60" s="162" t="e">
        <f t="shared" si="126"/>
        <v>#N/A</v>
      </c>
      <c r="BT60" s="112" t="e">
        <f t="shared" si="127"/>
        <v>#N/A</v>
      </c>
      <c r="BU60" s="178" t="e">
        <f t="shared" si="128"/>
        <v>#N/A</v>
      </c>
      <c r="BV60" s="488" t="e">
        <f t="shared" si="129"/>
        <v>#N/A</v>
      </c>
      <c r="BW60" s="488" t="e">
        <f t="shared" si="138"/>
        <v>#N/A</v>
      </c>
      <c r="BX60" s="488" t="e">
        <f t="shared" si="139"/>
        <v>#N/A</v>
      </c>
      <c r="BY60" s="488" t="e">
        <f t="shared" si="140"/>
        <v>#N/A</v>
      </c>
      <c r="BZ60" s="488" t="e">
        <f t="shared" si="141"/>
        <v>#N/A</v>
      </c>
      <c r="CA60" s="178" t="e">
        <f t="shared" si="130"/>
        <v>#N/A</v>
      </c>
      <c r="CB60" s="488" t="e">
        <f t="shared" si="131"/>
        <v>#N/A</v>
      </c>
      <c r="CC60" s="488" t="e">
        <f t="shared" si="96"/>
        <v>#N/A</v>
      </c>
      <c r="CD60" s="488" t="e">
        <f t="shared" si="97"/>
        <v>#N/A</v>
      </c>
      <c r="CE60" s="488" t="e">
        <f t="shared" si="98"/>
        <v>#N/A</v>
      </c>
      <c r="CF60" s="488" t="e">
        <f t="shared" si="99"/>
        <v>#N/A</v>
      </c>
      <c r="CG60" s="178" t="e">
        <f t="shared" si="132"/>
        <v>#N/A</v>
      </c>
      <c r="CH60" s="488" t="e">
        <f t="shared" si="133"/>
        <v>#N/A</v>
      </c>
      <c r="CI60" s="488" t="e">
        <f t="shared" si="100"/>
        <v>#N/A</v>
      </c>
      <c r="CJ60" s="488" t="e">
        <f t="shared" si="101"/>
        <v>#N/A</v>
      </c>
      <c r="CK60" s="488" t="e">
        <f t="shared" si="102"/>
        <v>#N/A</v>
      </c>
      <c r="CL60" s="488" t="e">
        <f t="shared" si="103"/>
        <v>#N/A</v>
      </c>
      <c r="CM60" s="178" t="e">
        <f t="shared" si="134"/>
        <v>#N/A</v>
      </c>
      <c r="CN60" s="488" t="e">
        <f t="shared" si="135"/>
        <v>#N/A</v>
      </c>
      <c r="CO60" s="488" t="e">
        <f t="shared" si="104"/>
        <v>#N/A</v>
      </c>
      <c r="CP60" s="488" t="e">
        <f t="shared" si="105"/>
        <v>#N/A</v>
      </c>
      <c r="CQ60" s="488" t="e">
        <f t="shared" si="106"/>
        <v>#N/A</v>
      </c>
      <c r="CR60" s="488" t="e">
        <f t="shared" si="107"/>
        <v>#N/A</v>
      </c>
      <c r="CS60" s="35"/>
      <c r="CT60" s="35"/>
      <c r="CU60" s="35"/>
      <c r="CV60" s="35"/>
      <c r="CW60" s="35"/>
    </row>
    <row r="61" spans="1:101" x14ac:dyDescent="0.25">
      <c r="B61" s="207"/>
      <c r="C61" s="206">
        <v>1</v>
      </c>
      <c r="D61" s="211">
        <f>COUNTIF(D37:D60,"YES")</f>
        <v>24</v>
      </c>
      <c r="E61" s="183" t="e">
        <f t="shared" ref="E61:AH61" si="142">SUM(E37:E60)</f>
        <v>#N/A</v>
      </c>
      <c r="F61" s="161" t="e">
        <f t="shared" si="142"/>
        <v>#N/A</v>
      </c>
      <c r="G61" s="161" t="e">
        <f t="shared" si="142"/>
        <v>#N/A</v>
      </c>
      <c r="H61" s="161" t="e">
        <f t="shared" si="142"/>
        <v>#N/A</v>
      </c>
      <c r="I61" s="161" t="e">
        <f t="shared" si="142"/>
        <v>#N/A</v>
      </c>
      <c r="J61" s="153" t="e">
        <f t="shared" si="142"/>
        <v>#N/A</v>
      </c>
      <c r="K61" s="156" t="e">
        <f t="shared" si="142"/>
        <v>#N/A</v>
      </c>
      <c r="L61" s="161" t="e">
        <f t="shared" si="142"/>
        <v>#N/A</v>
      </c>
      <c r="M61" s="161" t="e">
        <f t="shared" si="142"/>
        <v>#N/A</v>
      </c>
      <c r="N61" s="161" t="e">
        <f t="shared" si="142"/>
        <v>#N/A</v>
      </c>
      <c r="O61" s="161" t="e">
        <f t="shared" si="142"/>
        <v>#N/A</v>
      </c>
      <c r="P61" s="153" t="e">
        <f t="shared" si="142"/>
        <v>#N/A</v>
      </c>
      <c r="Q61" s="183" t="e">
        <f t="shared" si="142"/>
        <v>#N/A</v>
      </c>
      <c r="R61" s="161" t="e">
        <f t="shared" si="142"/>
        <v>#N/A</v>
      </c>
      <c r="S61" s="161" t="e">
        <f t="shared" si="142"/>
        <v>#N/A</v>
      </c>
      <c r="T61" s="161" t="e">
        <f t="shared" si="142"/>
        <v>#N/A</v>
      </c>
      <c r="U61" s="161" t="e">
        <f t="shared" si="142"/>
        <v>#N/A</v>
      </c>
      <c r="V61" s="153" t="e">
        <f t="shared" si="142"/>
        <v>#N/A</v>
      </c>
      <c r="W61" s="183" t="e">
        <f t="shared" si="142"/>
        <v>#N/A</v>
      </c>
      <c r="X61" s="161" t="e">
        <f t="shared" si="142"/>
        <v>#N/A</v>
      </c>
      <c r="Y61" s="161" t="e">
        <f t="shared" si="142"/>
        <v>#N/A</v>
      </c>
      <c r="Z61" s="161" t="e">
        <f t="shared" si="142"/>
        <v>#N/A</v>
      </c>
      <c r="AA61" s="161" t="e">
        <f t="shared" si="142"/>
        <v>#N/A</v>
      </c>
      <c r="AB61" s="153" t="e">
        <f t="shared" si="142"/>
        <v>#N/A</v>
      </c>
      <c r="AC61" s="156" t="e">
        <f t="shared" si="142"/>
        <v>#N/A</v>
      </c>
      <c r="AD61" s="161" t="e">
        <f t="shared" si="142"/>
        <v>#N/A</v>
      </c>
      <c r="AE61" s="161" t="e">
        <f t="shared" si="142"/>
        <v>#N/A</v>
      </c>
      <c r="AF61" s="161" t="e">
        <f t="shared" si="142"/>
        <v>#N/A</v>
      </c>
      <c r="AG61" s="161" t="e">
        <f t="shared" si="142"/>
        <v>#N/A</v>
      </c>
      <c r="AH61" s="161" t="e">
        <f t="shared" si="142"/>
        <v>#N/A</v>
      </c>
      <c r="AI61" s="35"/>
      <c r="AJ61" s="210" t="s">
        <v>270</v>
      </c>
      <c r="AK61" s="210" t="s">
        <v>270</v>
      </c>
      <c r="AL61" s="210" t="s">
        <v>270</v>
      </c>
      <c r="AM61" s="210" t="s">
        <v>270</v>
      </c>
      <c r="AN61" s="210" t="s">
        <v>270</v>
      </c>
      <c r="AO61" s="210" t="s">
        <v>270</v>
      </c>
      <c r="AP61" s="209" t="s">
        <v>270</v>
      </c>
      <c r="AQ61" s="161" t="e">
        <f>ADTPC2wz-Volumes!L61</f>
        <v>#N/A</v>
      </c>
      <c r="AR61" s="161" t="e">
        <f>ADTSU2wz-Volumes!M61</f>
        <v>#N/A</v>
      </c>
      <c r="AS61" s="161" t="e">
        <f>ADTCT2wz-Volumes!N61</f>
        <v>#N/A</v>
      </c>
      <c r="AT61" s="161" t="e">
        <f>ADTRV2wz-Volumes!O61</f>
        <v>#N/A</v>
      </c>
      <c r="AU61" s="161" t="e">
        <f>ADTPCE2wz-Volumes!P61</f>
        <v>#N/A</v>
      </c>
      <c r="AV61" s="209" t="s">
        <v>270</v>
      </c>
      <c r="AW61" s="161" t="e">
        <f>ADTPC2d1-Volumes!R61</f>
        <v>#N/A</v>
      </c>
      <c r="AX61" s="161" t="e">
        <f>ADTSU2d1-Volumes!S61</f>
        <v>#N/A</v>
      </c>
      <c r="AY61" s="161" t="e">
        <f>ADTCT2d1-Volumes!T61</f>
        <v>#N/A</v>
      </c>
      <c r="AZ61" s="161" t="e">
        <f>ADTRV2d1-Volumes!U61</f>
        <v>#N/A</v>
      </c>
      <c r="BA61" s="161" t="e">
        <f>ADTPCE2d1-Volumes!V61</f>
        <v>#N/A</v>
      </c>
      <c r="BB61" s="209" t="s">
        <v>270</v>
      </c>
      <c r="BC61" s="161" t="e">
        <f>ADTPC2d2-Volumes!X61</f>
        <v>#N/A</v>
      </c>
      <c r="BD61" s="161" t="e">
        <f>ADTSU2d2-Volumes!Y61</f>
        <v>#N/A</v>
      </c>
      <c r="BE61" s="161" t="e">
        <f>ADTCT2d2-Volumes!Z61</f>
        <v>#N/A</v>
      </c>
      <c r="BF61" s="161" t="e">
        <f>ADTRV2d2-Volumes!AA61</f>
        <v>#N/A</v>
      </c>
      <c r="BG61" s="161" t="e">
        <f>ADTPCE2d2-Volumes!AB61</f>
        <v>#N/A</v>
      </c>
      <c r="BH61" s="209" t="s">
        <v>270</v>
      </c>
      <c r="BI61" s="161" t="e">
        <f>ADTPC2d3-Volumes!AD61</f>
        <v>#N/A</v>
      </c>
      <c r="BJ61" s="161" t="e">
        <f>ADTSU2d3-Volumes!AE61</f>
        <v>#N/A</v>
      </c>
      <c r="BK61" s="161" t="e">
        <f>ADTCT2d3-Volumes!AF61</f>
        <v>#N/A</v>
      </c>
      <c r="BL61" s="161" t="e">
        <f>ADTRV2d3-Volumes!AG61</f>
        <v>#N/A</v>
      </c>
      <c r="BM61" s="161" t="e">
        <f>ADTPCE2d3-Volumes!AH61</f>
        <v>#N/A</v>
      </c>
      <c r="BO61" s="161" t="e">
        <f t="shared" ref="BO61:CR61" si="143">SUM(BO37:BO60)</f>
        <v>#N/A</v>
      </c>
      <c r="BP61" s="161" t="e">
        <f t="shared" si="143"/>
        <v>#N/A</v>
      </c>
      <c r="BQ61" s="161" t="e">
        <f t="shared" si="143"/>
        <v>#N/A</v>
      </c>
      <c r="BR61" s="161" t="e">
        <f t="shared" si="143"/>
        <v>#N/A</v>
      </c>
      <c r="BS61" s="161" t="e">
        <f t="shared" si="143"/>
        <v>#N/A</v>
      </c>
      <c r="BT61" s="153" t="e">
        <f t="shared" si="143"/>
        <v>#N/A</v>
      </c>
      <c r="BU61" s="183" t="e">
        <f t="shared" si="143"/>
        <v>#N/A</v>
      </c>
      <c r="BV61" s="161" t="e">
        <f t="shared" si="143"/>
        <v>#N/A</v>
      </c>
      <c r="BW61" s="161" t="e">
        <f t="shared" si="143"/>
        <v>#N/A</v>
      </c>
      <c r="BX61" s="161" t="e">
        <f t="shared" si="143"/>
        <v>#N/A</v>
      </c>
      <c r="BY61" s="161" t="e">
        <f t="shared" si="143"/>
        <v>#N/A</v>
      </c>
      <c r="BZ61" s="153" t="e">
        <f t="shared" si="143"/>
        <v>#N/A</v>
      </c>
      <c r="CA61" s="183" t="e">
        <f t="shared" si="143"/>
        <v>#N/A</v>
      </c>
      <c r="CB61" s="161" t="e">
        <f t="shared" si="143"/>
        <v>#N/A</v>
      </c>
      <c r="CC61" s="161" t="e">
        <f t="shared" si="143"/>
        <v>#N/A</v>
      </c>
      <c r="CD61" s="161" t="e">
        <f t="shared" si="143"/>
        <v>#N/A</v>
      </c>
      <c r="CE61" s="161" t="e">
        <f t="shared" si="143"/>
        <v>#N/A</v>
      </c>
      <c r="CF61" s="153" t="e">
        <f t="shared" si="143"/>
        <v>#N/A</v>
      </c>
      <c r="CG61" s="183" t="e">
        <f t="shared" si="143"/>
        <v>#N/A</v>
      </c>
      <c r="CH61" s="161" t="e">
        <f t="shared" si="143"/>
        <v>#N/A</v>
      </c>
      <c r="CI61" s="161" t="e">
        <f t="shared" si="143"/>
        <v>#N/A</v>
      </c>
      <c r="CJ61" s="161" t="e">
        <f t="shared" si="143"/>
        <v>#N/A</v>
      </c>
      <c r="CK61" s="161" t="e">
        <f t="shared" si="143"/>
        <v>#N/A</v>
      </c>
      <c r="CL61" s="153" t="e">
        <f t="shared" si="143"/>
        <v>#N/A</v>
      </c>
      <c r="CM61" s="156" t="e">
        <f t="shared" si="143"/>
        <v>#N/A</v>
      </c>
      <c r="CN61" s="161" t="e">
        <f t="shared" si="143"/>
        <v>#N/A</v>
      </c>
      <c r="CO61" s="161" t="e">
        <f t="shared" si="143"/>
        <v>#N/A</v>
      </c>
      <c r="CP61" s="161" t="e">
        <f t="shared" si="143"/>
        <v>#N/A</v>
      </c>
      <c r="CQ61" s="161" t="e">
        <f t="shared" si="143"/>
        <v>#N/A</v>
      </c>
      <c r="CR61" s="161" t="e">
        <f t="shared" si="143"/>
        <v>#N/A</v>
      </c>
      <c r="CS61" s="35"/>
      <c r="CT61" s="35"/>
      <c r="CU61" s="35"/>
      <c r="CV61" s="35"/>
    </row>
  </sheetData>
  <sheetProtection algorithmName="SHA-512" hashValue="pAGzGBmi1Ke2aJKwtHCOvxmQAQK4Jd6/vxga3Qml8tAUujOq9NAb1KW1c+EleujpFGEb27N/ewIZ2LN1usip+Q==" saltValue="2y8g9iKtVMF0IT8NyVXcyg==" spinCount="100000" sheet="1" objects="1" scenarios="1"/>
  <mergeCells count="40">
    <mergeCell ref="BO34:CR34"/>
    <mergeCell ref="AC35:AH35"/>
    <mergeCell ref="B2:CR2"/>
    <mergeCell ref="B3:CR3"/>
    <mergeCell ref="BU35:BZ35"/>
    <mergeCell ref="CA35:CF35"/>
    <mergeCell ref="CG35:CL35"/>
    <mergeCell ref="CM35:CR35"/>
    <mergeCell ref="AJ35:AO35"/>
    <mergeCell ref="AP35:AU35"/>
    <mergeCell ref="AV35:BA35"/>
    <mergeCell ref="BB35:BG35"/>
    <mergeCell ref="BH35:BM35"/>
    <mergeCell ref="BO35:BT35"/>
    <mergeCell ref="E34:AH34"/>
    <mergeCell ref="AJ34:BM34"/>
    <mergeCell ref="B35:D35"/>
    <mergeCell ref="E35:J35"/>
    <mergeCell ref="K35:P35"/>
    <mergeCell ref="Q35:V35"/>
    <mergeCell ref="W35:AB35"/>
    <mergeCell ref="BO5:CR5"/>
    <mergeCell ref="BO6:BT6"/>
    <mergeCell ref="BU6:BZ6"/>
    <mergeCell ref="CA6:CF6"/>
    <mergeCell ref="CG6:CL6"/>
    <mergeCell ref="CM6:CR6"/>
    <mergeCell ref="E5:AH5"/>
    <mergeCell ref="AJ5:BM5"/>
    <mergeCell ref="AJ6:AO6"/>
    <mergeCell ref="AP6:AU6"/>
    <mergeCell ref="Q6:V6"/>
    <mergeCell ref="K6:P6"/>
    <mergeCell ref="E6:J6"/>
    <mergeCell ref="B6:D6"/>
    <mergeCell ref="AV6:BA6"/>
    <mergeCell ref="BB6:BG6"/>
    <mergeCell ref="BH6:BM6"/>
    <mergeCell ref="AC6:AH6"/>
    <mergeCell ref="W6:AB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2:W119"/>
  <sheetViews>
    <sheetView showGridLines="0" zoomScaleNormal="100" workbookViewId="0"/>
  </sheetViews>
  <sheetFormatPr defaultRowHeight="15" x14ac:dyDescent="0.25"/>
  <cols>
    <col min="2" max="2" width="33.28515625" bestFit="1" customWidth="1"/>
    <col min="3" max="3" width="19.42578125" style="157" bestFit="1" customWidth="1"/>
    <col min="4" max="4" width="27.42578125" style="157" bestFit="1" customWidth="1"/>
    <col min="5" max="5" width="9.140625" style="157"/>
    <col min="6" max="6" width="9.140625" style="35"/>
    <col min="8" max="8" width="9.140625" style="35"/>
  </cols>
  <sheetData>
    <row r="2" spans="2:23" ht="36" x14ac:dyDescent="0.25">
      <c r="B2" s="1145" t="s">
        <v>1096</v>
      </c>
      <c r="C2" s="1146"/>
      <c r="D2" s="1146"/>
      <c r="E2" s="1146"/>
      <c r="F2" s="1146"/>
      <c r="G2" s="1146"/>
      <c r="H2" s="1146"/>
      <c r="I2" s="1146"/>
      <c r="J2" s="1146"/>
      <c r="K2" s="1147"/>
      <c r="L2" s="35"/>
      <c r="M2" s="35"/>
      <c r="N2" s="35"/>
      <c r="O2" s="35"/>
      <c r="P2" s="35"/>
      <c r="Q2" s="35"/>
      <c r="R2" s="35"/>
      <c r="S2" s="35"/>
      <c r="T2" s="35"/>
      <c r="U2" s="35"/>
      <c r="V2" s="35"/>
      <c r="W2" s="35"/>
    </row>
    <row r="3" spans="2:23" ht="33.75" customHeight="1" x14ac:dyDescent="0.25">
      <c r="B3" s="1148" t="s">
        <v>632</v>
      </c>
      <c r="C3" s="1149"/>
      <c r="D3" s="1149"/>
      <c r="E3" s="1149"/>
      <c r="F3" s="1149"/>
      <c r="G3" s="1149"/>
      <c r="H3" s="1149"/>
      <c r="I3" s="1149"/>
      <c r="J3" s="1149"/>
      <c r="K3" s="1150"/>
      <c r="L3" s="35"/>
      <c r="M3" s="35"/>
      <c r="N3" s="35"/>
      <c r="O3" s="35"/>
      <c r="P3" s="35"/>
      <c r="Q3" s="35"/>
      <c r="R3" s="35"/>
      <c r="S3" s="35"/>
      <c r="T3" s="35"/>
      <c r="U3" s="35"/>
      <c r="V3" s="35"/>
      <c r="W3" s="35"/>
    </row>
    <row r="5" spans="2:23" s="35" customFormat="1" ht="18" customHeight="1" x14ac:dyDescent="0.25">
      <c r="B5" s="214" t="s">
        <v>612</v>
      </c>
      <c r="C5" s="238" t="s">
        <v>407</v>
      </c>
      <c r="D5" s="238" t="s">
        <v>613</v>
      </c>
      <c r="E5" s="238" t="s">
        <v>614</v>
      </c>
      <c r="F5" s="236"/>
      <c r="G5" s="217" t="str">
        <f>FirstDirection</f>
        <v>Direction 1</v>
      </c>
      <c r="H5" s="237"/>
      <c r="I5" s="215"/>
      <c r="J5" s="217" t="str">
        <f>SecondDirection</f>
        <v>Direction 2</v>
      </c>
      <c r="K5" s="216"/>
    </row>
    <row r="6" spans="2:23" s="35" customFormat="1" ht="18" customHeight="1" x14ac:dyDescent="0.35">
      <c r="B6" s="220" t="s">
        <v>9</v>
      </c>
      <c r="C6" s="162" t="s">
        <v>414</v>
      </c>
      <c r="D6" s="230"/>
      <c r="E6" s="159" t="s">
        <v>357</v>
      </c>
      <c r="F6" s="219"/>
      <c r="G6" s="167">
        <f>LanesEX1</f>
        <v>0</v>
      </c>
      <c r="H6" s="160"/>
      <c r="I6" s="159"/>
      <c r="J6" s="167">
        <f>LanesEX2</f>
        <v>0</v>
      </c>
      <c r="K6" s="33"/>
    </row>
    <row r="7" spans="2:23" s="35" customFormat="1" ht="18" customHeight="1" x14ac:dyDescent="0.35">
      <c r="B7" s="220" t="s">
        <v>882</v>
      </c>
      <c r="C7" s="162" t="s">
        <v>857</v>
      </c>
      <c r="D7" s="230"/>
      <c r="E7" s="162" t="s">
        <v>359</v>
      </c>
      <c r="F7" s="219"/>
      <c r="G7" s="167" t="e">
        <f>CapacityEx1</f>
        <v>#N/A</v>
      </c>
      <c r="H7" s="160"/>
      <c r="I7" s="159"/>
      <c r="J7" s="167" t="e">
        <f>CapacityEx2</f>
        <v>#N/A</v>
      </c>
      <c r="K7" s="33"/>
    </row>
    <row r="8" spans="2:23" s="35" customFormat="1" ht="18" customHeight="1" x14ac:dyDescent="0.25">
      <c r="B8" s="220" t="s">
        <v>582</v>
      </c>
      <c r="C8" s="162" t="s">
        <v>430</v>
      </c>
      <c r="D8" s="230"/>
      <c r="E8" s="162" t="s">
        <v>359</v>
      </c>
      <c r="F8" s="219"/>
      <c r="G8" s="167" t="e">
        <f>WZCapBase1</f>
        <v>#N/A</v>
      </c>
      <c r="H8" s="160"/>
      <c r="I8" s="159"/>
      <c r="J8" s="167" t="e">
        <f>WZCapBase2</f>
        <v>#N/A</v>
      </c>
      <c r="K8" s="33"/>
    </row>
    <row r="9" spans="2:23" s="35" customFormat="1" ht="18" customHeight="1" x14ac:dyDescent="0.35">
      <c r="B9" s="220" t="s">
        <v>797</v>
      </c>
      <c r="C9" s="162" t="s">
        <v>858</v>
      </c>
      <c r="D9" s="162" t="s">
        <v>859</v>
      </c>
      <c r="E9" s="162" t="s">
        <v>583</v>
      </c>
      <c r="F9" s="219"/>
      <c r="G9" s="167" t="e">
        <f>CapacityEx1*LanesEX1</f>
        <v>#N/A</v>
      </c>
      <c r="H9" s="160"/>
      <c r="I9" s="159"/>
      <c r="J9" s="167" t="e">
        <f>CapacityEx2*LanesEX2</f>
        <v>#N/A</v>
      </c>
      <c r="K9" s="33"/>
    </row>
    <row r="10" spans="2:23" s="35" customFormat="1" ht="18" customHeight="1" x14ac:dyDescent="0.35">
      <c r="B10" s="220" t="s">
        <v>581</v>
      </c>
      <c r="C10" s="162" t="s">
        <v>596</v>
      </c>
      <c r="D10" s="162" t="s">
        <v>1275</v>
      </c>
      <c r="E10" s="162" t="s">
        <v>1274</v>
      </c>
      <c r="F10" s="219"/>
      <c r="G10" s="167" t="e">
        <f>WZPCE1*LanesWZ1</f>
        <v>#N/A</v>
      </c>
      <c r="H10" s="160"/>
      <c r="I10" s="159"/>
      <c r="J10" s="167" t="e">
        <f>WZPCE2*LanesWZ2</f>
        <v>#N/A</v>
      </c>
      <c r="K10" s="33"/>
    </row>
    <row r="11" spans="2:23" ht="18" customHeight="1" x14ac:dyDescent="0.25">
      <c r="B11" s="214" t="s">
        <v>609</v>
      </c>
      <c r="C11" s="238" t="s">
        <v>407</v>
      </c>
      <c r="D11" s="238" t="s">
        <v>613</v>
      </c>
      <c r="E11" s="238" t="s">
        <v>614</v>
      </c>
      <c r="F11" s="236"/>
      <c r="G11" s="217" t="str">
        <f>FirstDirection</f>
        <v>Direction 1</v>
      </c>
      <c r="H11" s="237"/>
      <c r="I11" s="215"/>
      <c r="J11" s="217" t="str">
        <f>SecondDirection</f>
        <v>Direction 2</v>
      </c>
      <c r="K11" s="216"/>
    </row>
    <row r="12" spans="2:23" ht="18" customHeight="1" x14ac:dyDescent="0.25">
      <c r="B12" s="220" t="s">
        <v>580</v>
      </c>
      <c r="C12" s="162" t="s">
        <v>23</v>
      </c>
      <c r="D12" s="230"/>
      <c r="E12" s="159" t="s">
        <v>89</v>
      </c>
      <c r="F12" s="219"/>
      <c r="G12" s="167">
        <f>Length1</f>
        <v>0</v>
      </c>
      <c r="H12" s="160"/>
      <c r="I12" s="159"/>
      <c r="J12" s="167">
        <f>Length2</f>
        <v>0</v>
      </c>
      <c r="K12" s="33"/>
    </row>
    <row r="13" spans="2:23" ht="18" customHeight="1" x14ac:dyDescent="0.35">
      <c r="B13" s="220" t="s">
        <v>379</v>
      </c>
      <c r="C13" s="162" t="s">
        <v>411</v>
      </c>
      <c r="D13" s="230"/>
      <c r="E13" s="162" t="s">
        <v>170</v>
      </c>
      <c r="F13" s="219"/>
      <c r="G13" s="167" t="e">
        <f>exFFS1</f>
        <v>#N/A</v>
      </c>
      <c r="H13" s="160"/>
      <c r="I13" s="159"/>
      <c r="J13" s="167" t="e">
        <f>exFFS2</f>
        <v>#N/A</v>
      </c>
      <c r="K13" s="33"/>
    </row>
    <row r="14" spans="2:23" ht="18" customHeight="1" x14ac:dyDescent="0.35">
      <c r="B14" s="220" t="s">
        <v>610</v>
      </c>
      <c r="C14" s="162" t="s">
        <v>597</v>
      </c>
      <c r="D14" s="162" t="s">
        <v>594</v>
      </c>
      <c r="E14" s="162" t="s">
        <v>539</v>
      </c>
      <c r="F14" s="219"/>
      <c r="G14" s="588" t="e">
        <f>ROUND((G12/G13)*60,2)</f>
        <v>#N/A</v>
      </c>
      <c r="H14" s="160"/>
      <c r="I14" s="159"/>
      <c r="J14" s="588" t="e">
        <f>ROUND((J12/J13)*60,2)</f>
        <v>#N/A</v>
      </c>
      <c r="K14" s="33"/>
    </row>
    <row r="15" spans="2:23" ht="18" customHeight="1" x14ac:dyDescent="0.25">
      <c r="B15" s="214" t="s">
        <v>606</v>
      </c>
      <c r="C15" s="238" t="s">
        <v>407</v>
      </c>
      <c r="D15" s="238" t="s">
        <v>613</v>
      </c>
      <c r="E15" s="238" t="s">
        <v>614</v>
      </c>
      <c r="F15" s="236"/>
      <c r="G15" s="217" t="str">
        <f>FirstDirection</f>
        <v>Direction 1</v>
      </c>
      <c r="H15" s="237"/>
      <c r="I15" s="215"/>
      <c r="J15" s="217" t="str">
        <f>SecondDirection</f>
        <v>Direction 2</v>
      </c>
      <c r="K15" s="216"/>
    </row>
    <row r="16" spans="2:23" ht="18" customHeight="1" x14ac:dyDescent="0.25">
      <c r="B16" s="220" t="s">
        <v>580</v>
      </c>
      <c r="C16" s="162" t="s">
        <v>23</v>
      </c>
      <c r="D16" s="230"/>
      <c r="E16" s="159" t="s">
        <v>89</v>
      </c>
      <c r="F16" s="219"/>
      <c r="G16" s="167">
        <f>Length1</f>
        <v>0</v>
      </c>
      <c r="H16" s="160"/>
      <c r="I16" s="159"/>
      <c r="J16" s="167">
        <f>Length2</f>
        <v>0</v>
      </c>
      <c r="K16" s="33"/>
    </row>
    <row r="17" spans="2:13" ht="18" customHeight="1" x14ac:dyDescent="0.35">
      <c r="B17" s="220" t="s">
        <v>585</v>
      </c>
      <c r="C17" s="162" t="s">
        <v>423</v>
      </c>
      <c r="D17" s="230"/>
      <c r="E17" s="162" t="s">
        <v>170</v>
      </c>
      <c r="F17" s="219"/>
      <c r="G17" s="167" t="e">
        <f>wzFFS1</f>
        <v>#N/A</v>
      </c>
      <c r="H17" s="160"/>
      <c r="I17" s="159"/>
      <c r="J17" s="167" t="e">
        <f>wzFFS2</f>
        <v>#N/A</v>
      </c>
      <c r="K17" s="33"/>
      <c r="L17" s="35"/>
      <c r="M17" s="35"/>
    </row>
    <row r="18" spans="2:13" ht="18" customHeight="1" x14ac:dyDescent="0.35">
      <c r="B18" s="220" t="s">
        <v>611</v>
      </c>
      <c r="C18" s="162" t="s">
        <v>598</v>
      </c>
      <c r="D18" s="162" t="s">
        <v>595</v>
      </c>
      <c r="E18" s="548" t="s">
        <v>539</v>
      </c>
      <c r="F18" s="219"/>
      <c r="G18" s="588" t="e">
        <f>ROUND((G16/G17)*60,2)</f>
        <v>#N/A</v>
      </c>
      <c r="H18" s="160"/>
      <c r="I18" s="159"/>
      <c r="J18" s="588" t="e">
        <f>ROUND((J16/J17)*60,2)</f>
        <v>#N/A</v>
      </c>
      <c r="K18" s="33"/>
    </row>
    <row r="19" spans="2:13" ht="18" customHeight="1" x14ac:dyDescent="0.25">
      <c r="B19" s="181" t="s">
        <v>586</v>
      </c>
      <c r="C19" s="155"/>
      <c r="D19" s="155"/>
      <c r="E19" s="155"/>
      <c r="F19" s="182"/>
      <c r="G19" s="155"/>
      <c r="H19" s="155"/>
      <c r="I19" s="155"/>
      <c r="J19" s="155"/>
      <c r="K19" s="221"/>
    </row>
    <row r="20" spans="2:13" s="35" customFormat="1" ht="18" customHeight="1" x14ac:dyDescent="0.35">
      <c r="B20" s="222" t="s">
        <v>588</v>
      </c>
      <c r="C20" s="162" t="s">
        <v>599</v>
      </c>
      <c r="D20" s="162" t="s">
        <v>600</v>
      </c>
      <c r="E20" s="548" t="s">
        <v>539</v>
      </c>
      <c r="F20" s="219"/>
      <c r="G20" s="588" t="e">
        <f>MAX(0,G18-G14)</f>
        <v>#N/A</v>
      </c>
      <c r="H20" s="160"/>
      <c r="I20" s="159"/>
      <c r="J20" s="588" t="e">
        <f>MAX(0,J18-J14)</f>
        <v>#N/A</v>
      </c>
      <c r="K20" s="33"/>
    </row>
    <row r="21" spans="2:13" ht="18" customHeight="1" x14ac:dyDescent="0.25">
      <c r="B21" s="181" t="s">
        <v>587</v>
      </c>
      <c r="C21" s="155"/>
      <c r="D21" s="155"/>
      <c r="E21" s="155"/>
      <c r="F21" s="182"/>
      <c r="G21" s="155"/>
      <c r="H21" s="155"/>
      <c r="I21" s="155"/>
      <c r="J21" s="155"/>
      <c r="K21" s="221"/>
    </row>
    <row r="22" spans="2:13" ht="18" customHeight="1" x14ac:dyDescent="0.25">
      <c r="B22" s="223" t="s">
        <v>27</v>
      </c>
      <c r="C22" s="230"/>
      <c r="D22" s="1151" t="s">
        <v>615</v>
      </c>
      <c r="E22" s="228" t="s">
        <v>342</v>
      </c>
      <c r="F22" s="225"/>
      <c r="G22" s="226" t="e">
        <f>VLOOKUP(exFFS1,TableAddedTime,2)-VLOOKUP(wzFFS1,TableAddedTime,2)</f>
        <v>#N/A</v>
      </c>
      <c r="H22" s="227"/>
      <c r="I22" s="228"/>
      <c r="J22" s="226" t="e">
        <f>VLOOKUP(exFFS2,TableAddedTime,2)-VLOOKUP(wzFFS2,TableAddedTime,2)</f>
        <v>#N/A</v>
      </c>
      <c r="K22" s="229"/>
    </row>
    <row r="23" spans="2:13" ht="18" customHeight="1" x14ac:dyDescent="0.25">
      <c r="B23" s="223" t="s">
        <v>29</v>
      </c>
      <c r="C23" s="230"/>
      <c r="D23" s="1152"/>
      <c r="E23" s="228" t="s">
        <v>342</v>
      </c>
      <c r="F23" s="225"/>
      <c r="G23" s="226" t="e">
        <f>VLOOKUP(exFFS1,TableAddedTime,3)-VLOOKUP(wzFFS1,TableAddedTime,3)</f>
        <v>#N/A</v>
      </c>
      <c r="H23" s="227"/>
      <c r="I23" s="228"/>
      <c r="J23" s="226" t="e">
        <f>VLOOKUP(exFFS2,TableAddedTime,3)-VLOOKUP(wzFFS2,TableAddedTime,3)</f>
        <v>#N/A</v>
      </c>
      <c r="K23" s="229"/>
    </row>
    <row r="24" spans="2:13" ht="18" customHeight="1" x14ac:dyDescent="0.25">
      <c r="B24" s="223" t="s">
        <v>30</v>
      </c>
      <c r="C24" s="230"/>
      <c r="D24" s="1152"/>
      <c r="E24" s="228" t="s">
        <v>342</v>
      </c>
      <c r="F24" s="225"/>
      <c r="G24" s="226" t="e">
        <f>VLOOKUP(exFFS1,TableAddedTime,4)-VLOOKUP(wzFFS1,TableAddedTime,4)</f>
        <v>#N/A</v>
      </c>
      <c r="H24" s="227"/>
      <c r="I24" s="228"/>
      <c r="J24" s="226" t="e">
        <f>VLOOKUP(exFFS2,TableAddedTime,4)-VLOOKUP(wzFFS2,TableAddedTime,4)</f>
        <v>#N/A</v>
      </c>
      <c r="K24" s="229"/>
    </row>
    <row r="25" spans="2:13" ht="18" customHeight="1" x14ac:dyDescent="0.25">
      <c r="B25" s="223" t="s">
        <v>28</v>
      </c>
      <c r="C25" s="230"/>
      <c r="D25" s="1153"/>
      <c r="E25" s="228" t="s">
        <v>342</v>
      </c>
      <c r="F25" s="225"/>
      <c r="G25" s="226" t="e">
        <f>VLOOKUP(exFFS1,TableAddedTime,3)-VLOOKUP(wzFFS1,TableAddedTime,3)</f>
        <v>#N/A</v>
      </c>
      <c r="H25" s="227"/>
      <c r="I25" s="228"/>
      <c r="J25" s="226" t="e">
        <f>VLOOKUP(exFFS2,TableAddedTime,3)-VLOOKUP(wzFFS2,TableAddedTime,3)</f>
        <v>#N/A</v>
      </c>
      <c r="K25" s="229"/>
    </row>
    <row r="26" spans="2:13" ht="18" customHeight="1" x14ac:dyDescent="0.25">
      <c r="B26" s="181" t="s">
        <v>624</v>
      </c>
      <c r="C26" s="155"/>
      <c r="D26" s="155"/>
      <c r="E26" s="155"/>
      <c r="F26" s="182"/>
      <c r="G26" s="155"/>
      <c r="H26" s="155"/>
      <c r="I26" s="155"/>
      <c r="J26" s="155"/>
      <c r="K26" s="221"/>
    </row>
    <row r="27" spans="2:13" ht="18" customHeight="1" x14ac:dyDescent="0.25">
      <c r="B27" s="222" t="s">
        <v>27</v>
      </c>
      <c r="C27" s="1154" t="s">
        <v>601</v>
      </c>
      <c r="D27" s="230"/>
      <c r="E27" s="548" t="s">
        <v>539</v>
      </c>
      <c r="F27" s="219"/>
      <c r="G27" s="588" t="e">
        <f>MAX(0,ROUND(G22/60,2))</f>
        <v>#N/A</v>
      </c>
      <c r="H27" s="160"/>
      <c r="I27" s="159"/>
      <c r="J27" s="588" t="e">
        <f>MAX(0,ROUND(J22/60,2))</f>
        <v>#N/A</v>
      </c>
      <c r="K27" s="33"/>
    </row>
    <row r="28" spans="2:13" ht="18" customHeight="1" x14ac:dyDescent="0.25">
      <c r="B28" s="222" t="s">
        <v>29</v>
      </c>
      <c r="C28" s="1155"/>
      <c r="D28" s="230"/>
      <c r="E28" s="548" t="s">
        <v>539</v>
      </c>
      <c r="F28" s="219"/>
      <c r="G28" s="588" t="e">
        <f>MAX(0,ROUND(G23/60,2))</f>
        <v>#N/A</v>
      </c>
      <c r="H28" s="160"/>
      <c r="I28" s="159"/>
      <c r="J28" s="588" t="e">
        <f>MAX(0,ROUND(J23/60,2))</f>
        <v>#N/A</v>
      </c>
      <c r="K28" s="33"/>
    </row>
    <row r="29" spans="2:13" ht="18" customHeight="1" x14ac:dyDescent="0.25">
      <c r="B29" s="222" t="s">
        <v>30</v>
      </c>
      <c r="C29" s="1155"/>
      <c r="D29" s="230"/>
      <c r="E29" s="548" t="s">
        <v>539</v>
      </c>
      <c r="F29" s="219"/>
      <c r="G29" s="588" t="e">
        <f>MAX(0,ROUND(G24/60,2))</f>
        <v>#N/A</v>
      </c>
      <c r="H29" s="160"/>
      <c r="I29" s="159"/>
      <c r="J29" s="588" t="e">
        <f>MAX(0,ROUND(J24/60,2))</f>
        <v>#N/A</v>
      </c>
      <c r="K29" s="33"/>
    </row>
    <row r="30" spans="2:13" ht="18" customHeight="1" x14ac:dyDescent="0.25">
      <c r="B30" s="222" t="s">
        <v>28</v>
      </c>
      <c r="C30" s="1156"/>
      <c r="D30" s="230"/>
      <c r="E30" s="548" t="s">
        <v>539</v>
      </c>
      <c r="F30" s="219"/>
      <c r="G30" s="588" t="e">
        <f>MAX(0,ROUND(G25/60,2))</f>
        <v>#N/A</v>
      </c>
      <c r="H30" s="160"/>
      <c r="I30" s="159"/>
      <c r="J30" s="588" t="e">
        <f>MAX(0,ROUND(J25/60,2))</f>
        <v>#N/A</v>
      </c>
      <c r="K30" s="33"/>
    </row>
    <row r="31" spans="2:13" s="35" customFormat="1" ht="18" customHeight="1" x14ac:dyDescent="0.25">
      <c r="B31" s="181" t="s">
        <v>805</v>
      </c>
      <c r="C31" s="328"/>
      <c r="D31" s="328"/>
      <c r="E31" s="328"/>
      <c r="F31" s="182"/>
      <c r="G31" s="328"/>
      <c r="H31" s="328"/>
      <c r="I31" s="328"/>
      <c r="J31" s="328"/>
      <c r="K31" s="221"/>
    </row>
    <row r="32" spans="2:13" s="35" customFormat="1" ht="18" customHeight="1" x14ac:dyDescent="0.25">
      <c r="B32" s="222" t="s">
        <v>27</v>
      </c>
      <c r="C32" s="1154" t="s">
        <v>806</v>
      </c>
      <c r="D32" s="230"/>
      <c r="E32" s="548" t="s">
        <v>539</v>
      </c>
      <c r="F32" s="219"/>
      <c r="G32" s="588">
        <f>ROUND(AddDelPC1/60,2)</f>
        <v>0</v>
      </c>
      <c r="H32" s="330"/>
      <c r="I32" s="329"/>
      <c r="J32" s="588">
        <f>ROUND(AddDelPC2/60,2)</f>
        <v>0</v>
      </c>
      <c r="K32" s="33"/>
    </row>
    <row r="33" spans="2:11" s="35" customFormat="1" ht="18" customHeight="1" x14ac:dyDescent="0.25">
      <c r="B33" s="222" t="s">
        <v>29</v>
      </c>
      <c r="C33" s="1155"/>
      <c r="D33" s="230"/>
      <c r="E33" s="548" t="s">
        <v>539</v>
      </c>
      <c r="F33" s="219"/>
      <c r="G33" s="588">
        <f>ROUND(AddDelSU1/60,2)</f>
        <v>0</v>
      </c>
      <c r="H33" s="330"/>
      <c r="I33" s="329"/>
      <c r="J33" s="588">
        <f>ROUND(AddDelSU2/60,2)</f>
        <v>0</v>
      </c>
      <c r="K33" s="33"/>
    </row>
    <row r="34" spans="2:11" s="35" customFormat="1" ht="18" customHeight="1" x14ac:dyDescent="0.25">
      <c r="B34" s="222" t="s">
        <v>30</v>
      </c>
      <c r="C34" s="1155"/>
      <c r="D34" s="230"/>
      <c r="E34" s="548" t="s">
        <v>539</v>
      </c>
      <c r="F34" s="219"/>
      <c r="G34" s="588">
        <f>ROUND(AddDelCT1/60,2)</f>
        <v>0</v>
      </c>
      <c r="H34" s="330"/>
      <c r="I34" s="329"/>
      <c r="J34" s="588">
        <f>ROUND(AddDelCT2/60,2)</f>
        <v>0</v>
      </c>
      <c r="K34" s="33"/>
    </row>
    <row r="35" spans="2:11" s="35" customFormat="1" ht="18" customHeight="1" x14ac:dyDescent="0.25">
      <c r="B35" s="222" t="s">
        <v>28</v>
      </c>
      <c r="C35" s="1156"/>
      <c r="D35" s="230"/>
      <c r="E35" s="548" t="s">
        <v>539</v>
      </c>
      <c r="F35" s="219"/>
      <c r="G35" s="588">
        <f>ROUND(AddDelRV1/60,2)</f>
        <v>0</v>
      </c>
      <c r="H35" s="330"/>
      <c r="I35" s="329"/>
      <c r="J35" s="588">
        <f>ROUND(AddDelRV2/60,2)</f>
        <v>0</v>
      </c>
      <c r="K35" s="33"/>
    </row>
    <row r="36" spans="2:11" ht="18" customHeight="1" x14ac:dyDescent="0.25">
      <c r="B36" s="181" t="s">
        <v>604</v>
      </c>
      <c r="C36" s="155"/>
      <c r="D36" s="155"/>
      <c r="E36" s="155"/>
      <c r="F36" s="182"/>
      <c r="G36" s="155"/>
      <c r="H36" s="155"/>
      <c r="I36" s="155"/>
      <c r="J36" s="155"/>
      <c r="K36" s="221"/>
    </row>
    <row r="37" spans="2:11" s="35" customFormat="1" ht="18" customHeight="1" x14ac:dyDescent="0.25">
      <c r="B37" s="222" t="s">
        <v>27</v>
      </c>
      <c r="C37" s="1154" t="s">
        <v>602</v>
      </c>
      <c r="D37" s="1154" t="s">
        <v>603</v>
      </c>
      <c r="E37" s="548" t="s">
        <v>539</v>
      </c>
      <c r="F37" s="219"/>
      <c r="G37" s="588" t="e">
        <f>G$20+G27+G32</f>
        <v>#N/A</v>
      </c>
      <c r="H37" s="160"/>
      <c r="I37" s="159"/>
      <c r="J37" s="588" t="e">
        <f>J$20+J27+J32</f>
        <v>#N/A</v>
      </c>
      <c r="K37" s="33"/>
    </row>
    <row r="38" spans="2:11" s="35" customFormat="1" ht="18" customHeight="1" x14ac:dyDescent="0.25">
      <c r="B38" s="222" t="s">
        <v>29</v>
      </c>
      <c r="C38" s="1155"/>
      <c r="D38" s="1155"/>
      <c r="E38" s="548" t="s">
        <v>539</v>
      </c>
      <c r="F38" s="219"/>
      <c r="G38" s="588" t="e">
        <f>G$20+G28+G33</f>
        <v>#N/A</v>
      </c>
      <c r="H38" s="160"/>
      <c r="I38" s="159"/>
      <c r="J38" s="588" t="e">
        <f>J$20+J28+J33</f>
        <v>#N/A</v>
      </c>
      <c r="K38" s="33"/>
    </row>
    <row r="39" spans="2:11" s="35" customFormat="1" ht="18" customHeight="1" x14ac:dyDescent="0.25">
      <c r="B39" s="222" t="s">
        <v>30</v>
      </c>
      <c r="C39" s="1155"/>
      <c r="D39" s="1155"/>
      <c r="E39" s="548" t="s">
        <v>539</v>
      </c>
      <c r="F39" s="219"/>
      <c r="G39" s="588" t="e">
        <f>G$20+G29+G34</f>
        <v>#N/A</v>
      </c>
      <c r="H39" s="160"/>
      <c r="I39" s="159"/>
      <c r="J39" s="588" t="e">
        <f>J$20+J29+J34</f>
        <v>#N/A</v>
      </c>
      <c r="K39" s="33"/>
    </row>
    <row r="40" spans="2:11" s="35" customFormat="1" ht="18" customHeight="1" x14ac:dyDescent="0.25">
      <c r="B40" s="222" t="s">
        <v>28</v>
      </c>
      <c r="C40" s="1156"/>
      <c r="D40" s="1156"/>
      <c r="E40" s="548" t="s">
        <v>539</v>
      </c>
      <c r="F40" s="219"/>
      <c r="G40" s="588" t="e">
        <f>G$20+G30+G35</f>
        <v>#N/A</v>
      </c>
      <c r="H40" s="160"/>
      <c r="I40" s="159"/>
      <c r="J40" s="588" t="e">
        <f>J$20+J30+J35</f>
        <v>#N/A</v>
      </c>
      <c r="K40" s="33"/>
    </row>
    <row r="41" spans="2:11" s="35" customFormat="1" ht="18" customHeight="1" x14ac:dyDescent="0.25">
      <c r="B41" s="214" t="s">
        <v>605</v>
      </c>
      <c r="C41" s="238" t="s">
        <v>407</v>
      </c>
      <c r="D41" s="238" t="s">
        <v>613</v>
      </c>
      <c r="E41" s="238" t="s">
        <v>614</v>
      </c>
      <c r="F41" s="236"/>
      <c r="G41" s="217" t="str">
        <f>FirstDirection</f>
        <v>Direction 1</v>
      </c>
      <c r="H41" s="237"/>
      <c r="I41" s="215"/>
      <c r="J41" s="217" t="str">
        <f>SecondDirection</f>
        <v>Direction 2</v>
      </c>
      <c r="K41" s="216"/>
    </row>
    <row r="42" spans="2:11" ht="18" customHeight="1" x14ac:dyDescent="0.25">
      <c r="B42" s="181" t="s">
        <v>589</v>
      </c>
      <c r="C42" s="155"/>
      <c r="D42" s="155"/>
      <c r="E42" s="155"/>
      <c r="F42" s="182"/>
      <c r="G42" s="155"/>
      <c r="H42" s="155"/>
      <c r="I42" s="155"/>
      <c r="J42" s="155"/>
      <c r="K42" s="221"/>
    </row>
    <row r="43" spans="2:11" ht="18" customHeight="1" x14ac:dyDescent="0.25">
      <c r="B43" s="223" t="s">
        <v>27</v>
      </c>
      <c r="C43" s="230"/>
      <c r="D43" s="1151" t="s">
        <v>617</v>
      </c>
      <c r="E43" s="224" t="s">
        <v>342</v>
      </c>
      <c r="F43" s="225"/>
      <c r="G43" s="226" t="e">
        <f>VLOOKUP(wzFFS1,TableAddedTime,2)-VLOOKUP(0,TableAddedTime,2)</f>
        <v>#N/A</v>
      </c>
      <c r="H43" s="227"/>
      <c r="I43" s="228"/>
      <c r="J43" s="226" t="e">
        <f>VLOOKUP(wzFFS2,TableAddedTime,2)-VLOOKUP(0,TableAddedTime,2)</f>
        <v>#N/A</v>
      </c>
      <c r="K43" s="229"/>
    </row>
    <row r="44" spans="2:11" ht="18" customHeight="1" x14ac:dyDescent="0.25">
      <c r="B44" s="223" t="s">
        <v>29</v>
      </c>
      <c r="C44" s="230"/>
      <c r="D44" s="1152"/>
      <c r="E44" s="224" t="s">
        <v>342</v>
      </c>
      <c r="F44" s="225"/>
      <c r="G44" s="226" t="e">
        <f>VLOOKUP(wzFFS1,TableAddedTime,3)-VLOOKUP(0,TableAddedTime,3)</f>
        <v>#N/A</v>
      </c>
      <c r="H44" s="227"/>
      <c r="I44" s="228"/>
      <c r="J44" s="226" t="e">
        <f>VLOOKUP(wzFFS2,TableAddedTime,3)-VLOOKUP(0,TableAddedTime,3)</f>
        <v>#N/A</v>
      </c>
      <c r="K44" s="229"/>
    </row>
    <row r="45" spans="2:11" ht="18" customHeight="1" x14ac:dyDescent="0.25">
      <c r="B45" s="223" t="s">
        <v>30</v>
      </c>
      <c r="C45" s="230"/>
      <c r="D45" s="1152"/>
      <c r="E45" s="224" t="s">
        <v>342</v>
      </c>
      <c r="F45" s="225"/>
      <c r="G45" s="226" t="e">
        <f>VLOOKUP(wzFFS1,TableAddedTime,4)-VLOOKUP(0,TableAddedTime,4)</f>
        <v>#N/A</v>
      </c>
      <c r="H45" s="227"/>
      <c r="I45" s="228"/>
      <c r="J45" s="226" t="e">
        <f>VLOOKUP(wzFFS2,TableAddedTime,4)-VLOOKUP(0,TableAddedTime,4)</f>
        <v>#N/A</v>
      </c>
      <c r="K45" s="229"/>
    </row>
    <row r="46" spans="2:11" ht="18" customHeight="1" x14ac:dyDescent="0.25">
      <c r="B46" s="223" t="s">
        <v>28</v>
      </c>
      <c r="C46" s="230"/>
      <c r="D46" s="1153"/>
      <c r="E46" s="224" t="s">
        <v>342</v>
      </c>
      <c r="F46" s="225"/>
      <c r="G46" s="226" t="e">
        <f>VLOOKUP(wzFFS1,TableAddedTime,3)-VLOOKUP(0,TableAddedTime,3)</f>
        <v>#N/A</v>
      </c>
      <c r="H46" s="227"/>
      <c r="I46" s="228"/>
      <c r="J46" s="226" t="e">
        <f>VLOOKUP(wzFFS2,TableAddedTime,3)-VLOOKUP(0,TableAddedTime,3)</f>
        <v>#N/A</v>
      </c>
      <c r="K46" s="229"/>
    </row>
    <row r="47" spans="2:11" ht="18" customHeight="1" x14ac:dyDescent="0.25">
      <c r="B47" s="181" t="s">
        <v>623</v>
      </c>
      <c r="C47" s="155"/>
      <c r="D47" s="155"/>
      <c r="E47" s="155"/>
      <c r="F47" s="182"/>
      <c r="G47" s="155"/>
      <c r="H47" s="155"/>
      <c r="I47" s="155"/>
      <c r="J47" s="155"/>
      <c r="K47" s="221"/>
    </row>
    <row r="48" spans="2:11" ht="18" customHeight="1" x14ac:dyDescent="0.25">
      <c r="B48" s="222" t="s">
        <v>27</v>
      </c>
      <c r="C48" s="1154" t="s">
        <v>616</v>
      </c>
      <c r="D48" s="230"/>
      <c r="E48" s="548" t="s">
        <v>539</v>
      </c>
      <c r="F48" s="219"/>
      <c r="G48" s="588" t="e">
        <f>ROUND(G43/60,2)</f>
        <v>#N/A</v>
      </c>
      <c r="H48" s="160"/>
      <c r="I48" s="159"/>
      <c r="J48" s="588" t="e">
        <f>ROUND(J43/60,2)</f>
        <v>#N/A</v>
      </c>
      <c r="K48" s="33"/>
    </row>
    <row r="49" spans="2:11" ht="18" customHeight="1" x14ac:dyDescent="0.25">
      <c r="B49" s="222" t="s">
        <v>29</v>
      </c>
      <c r="C49" s="1155"/>
      <c r="D49" s="230"/>
      <c r="E49" s="548" t="s">
        <v>539</v>
      </c>
      <c r="F49" s="219"/>
      <c r="G49" s="588" t="e">
        <f>ROUND(G44/60,2)</f>
        <v>#N/A</v>
      </c>
      <c r="H49" s="160"/>
      <c r="I49" s="159"/>
      <c r="J49" s="588" t="e">
        <f>ROUND(J44/60,2)</f>
        <v>#N/A</v>
      </c>
      <c r="K49" s="33"/>
    </row>
    <row r="50" spans="2:11" ht="18" customHeight="1" x14ac:dyDescent="0.25">
      <c r="B50" s="222" t="s">
        <v>30</v>
      </c>
      <c r="C50" s="1155"/>
      <c r="D50" s="230"/>
      <c r="E50" s="548" t="s">
        <v>539</v>
      </c>
      <c r="F50" s="219"/>
      <c r="G50" s="588" t="e">
        <f>ROUND(G45/60,2)</f>
        <v>#N/A</v>
      </c>
      <c r="H50" s="160"/>
      <c r="I50" s="159"/>
      <c r="J50" s="588" t="e">
        <f>ROUND(J45/60,2)</f>
        <v>#N/A</v>
      </c>
      <c r="K50" s="33"/>
    </row>
    <row r="51" spans="2:11" ht="18" customHeight="1" x14ac:dyDescent="0.25">
      <c r="B51" s="222" t="s">
        <v>28</v>
      </c>
      <c r="C51" s="1156"/>
      <c r="D51" s="230"/>
      <c r="E51" s="548" t="s">
        <v>539</v>
      </c>
      <c r="F51" s="219"/>
      <c r="G51" s="588" t="e">
        <f>ROUND(G46/60,2)</f>
        <v>#N/A</v>
      </c>
      <c r="H51" s="160"/>
      <c r="I51" s="159"/>
      <c r="J51" s="588" t="e">
        <f>ROUND(J46/60,2)</f>
        <v>#N/A</v>
      </c>
      <c r="K51" s="33"/>
    </row>
    <row r="52" spans="2:11" ht="18" customHeight="1" x14ac:dyDescent="0.25">
      <c r="B52" s="214" t="s">
        <v>607</v>
      </c>
      <c r="C52" s="238" t="s">
        <v>407</v>
      </c>
      <c r="D52" s="238" t="s">
        <v>613</v>
      </c>
      <c r="E52" s="238" t="s">
        <v>614</v>
      </c>
      <c r="F52" s="236"/>
      <c r="G52" s="217" t="str">
        <f>FirstDirection</f>
        <v>Direction 1</v>
      </c>
      <c r="H52" s="237"/>
      <c r="I52" s="215"/>
      <c r="J52" s="217" t="str">
        <f>SecondDirection</f>
        <v>Direction 2</v>
      </c>
      <c r="K52" s="216"/>
    </row>
    <row r="53" spans="2:11" ht="18" customHeight="1" x14ac:dyDescent="0.25">
      <c r="B53" s="181" t="s">
        <v>590</v>
      </c>
      <c r="C53" s="155"/>
      <c r="D53" s="155"/>
      <c r="E53" s="155"/>
      <c r="F53" s="182"/>
      <c r="G53" s="155"/>
      <c r="H53" s="155"/>
      <c r="I53" s="155"/>
      <c r="J53" s="155"/>
      <c r="K53" s="221"/>
    </row>
    <row r="54" spans="2:11" ht="18" customHeight="1" x14ac:dyDescent="0.25">
      <c r="B54" s="223" t="s">
        <v>27</v>
      </c>
      <c r="C54" s="230"/>
      <c r="D54" s="1151" t="s">
        <v>617</v>
      </c>
      <c r="E54" s="224" t="s">
        <v>342</v>
      </c>
      <c r="F54" s="225"/>
      <c r="G54" s="226" t="e">
        <f>VLOOKUP(wzFFS1,TableAddedTime,2)-VLOOKUP(0,TableAddedTime,2)</f>
        <v>#N/A</v>
      </c>
      <c r="H54" s="227"/>
      <c r="I54" s="228"/>
      <c r="J54" s="226" t="e">
        <f>VLOOKUP(wzFFS2,TableAddedTime,2)-VLOOKUP(0,TableAddedTime,2)</f>
        <v>#N/A</v>
      </c>
      <c r="K54" s="229"/>
    </row>
    <row r="55" spans="2:11" ht="18" customHeight="1" x14ac:dyDescent="0.25">
      <c r="B55" s="223" t="s">
        <v>29</v>
      </c>
      <c r="C55" s="230"/>
      <c r="D55" s="1152"/>
      <c r="E55" s="224" t="s">
        <v>342</v>
      </c>
      <c r="F55" s="225"/>
      <c r="G55" s="226" t="e">
        <f>VLOOKUP(wzFFS1,TableAddedTime,3)-VLOOKUP(0,TableAddedTime,3)</f>
        <v>#N/A</v>
      </c>
      <c r="H55" s="227"/>
      <c r="I55" s="228"/>
      <c r="J55" s="226" t="e">
        <f>VLOOKUP(wzFFS2,TableAddedTime,3)-VLOOKUP(0,TableAddedTime,3)</f>
        <v>#N/A</v>
      </c>
      <c r="K55" s="229"/>
    </row>
    <row r="56" spans="2:11" ht="18" customHeight="1" x14ac:dyDescent="0.25">
      <c r="B56" s="223" t="s">
        <v>30</v>
      </c>
      <c r="C56" s="230"/>
      <c r="D56" s="1152"/>
      <c r="E56" s="224" t="s">
        <v>342</v>
      </c>
      <c r="F56" s="225"/>
      <c r="G56" s="226" t="e">
        <f>VLOOKUP(wzFFS1,TableAddedTime,4)-VLOOKUP(0,TableAddedTime,4)</f>
        <v>#N/A</v>
      </c>
      <c r="H56" s="227"/>
      <c r="I56" s="228"/>
      <c r="J56" s="226" t="e">
        <f>VLOOKUP(wzFFS2,TableAddedTime,4)-VLOOKUP(0,TableAddedTime,4)</f>
        <v>#N/A</v>
      </c>
      <c r="K56" s="229"/>
    </row>
    <row r="57" spans="2:11" ht="18" customHeight="1" x14ac:dyDescent="0.25">
      <c r="B57" s="223" t="s">
        <v>28</v>
      </c>
      <c r="C57" s="230"/>
      <c r="D57" s="1153"/>
      <c r="E57" s="224" t="s">
        <v>342</v>
      </c>
      <c r="F57" s="225"/>
      <c r="G57" s="226" t="e">
        <f>VLOOKUP(wzFFS1,TableAddedTime,3)-VLOOKUP(0,TableAddedTime,3)</f>
        <v>#N/A</v>
      </c>
      <c r="H57" s="227"/>
      <c r="I57" s="228"/>
      <c r="J57" s="226" t="e">
        <f>VLOOKUP(wzFFS2,TableAddedTime,3)-VLOOKUP(0,TableAddedTime,3)</f>
        <v>#N/A</v>
      </c>
      <c r="K57" s="229"/>
    </row>
    <row r="58" spans="2:11" ht="18" customHeight="1" x14ac:dyDescent="0.25">
      <c r="B58" s="181" t="s">
        <v>622</v>
      </c>
      <c r="C58" s="155"/>
      <c r="D58" s="155"/>
      <c r="E58" s="155"/>
      <c r="F58" s="182"/>
      <c r="G58" s="155"/>
      <c r="H58" s="155"/>
      <c r="I58" s="155"/>
      <c r="J58" s="155"/>
      <c r="K58" s="221"/>
    </row>
    <row r="59" spans="2:11" ht="18" customHeight="1" x14ac:dyDescent="0.25">
      <c r="B59" s="222" t="s">
        <v>27</v>
      </c>
      <c r="C59" s="1154" t="s">
        <v>618</v>
      </c>
      <c r="D59" s="230"/>
      <c r="E59" s="548" t="s">
        <v>539</v>
      </c>
      <c r="F59" s="219"/>
      <c r="G59" s="588" t="e">
        <f>ROUND(G54/60,2)</f>
        <v>#N/A</v>
      </c>
      <c r="H59" s="160"/>
      <c r="I59" s="159"/>
      <c r="J59" s="588" t="e">
        <f>ROUND(J54/60,2)</f>
        <v>#N/A</v>
      </c>
      <c r="K59" s="33"/>
    </row>
    <row r="60" spans="2:11" ht="18" customHeight="1" x14ac:dyDescent="0.25">
      <c r="B60" s="222" t="s">
        <v>29</v>
      </c>
      <c r="C60" s="1155"/>
      <c r="D60" s="230"/>
      <c r="E60" s="548" t="s">
        <v>539</v>
      </c>
      <c r="F60" s="219"/>
      <c r="G60" s="588" t="e">
        <f>ROUND(G55/60,2)</f>
        <v>#N/A</v>
      </c>
      <c r="H60" s="160"/>
      <c r="I60" s="159"/>
      <c r="J60" s="588" t="e">
        <f>ROUND(J55/60,2)</f>
        <v>#N/A</v>
      </c>
      <c r="K60" s="33"/>
    </row>
    <row r="61" spans="2:11" ht="18" customHeight="1" x14ac:dyDescent="0.25">
      <c r="B61" s="222" t="s">
        <v>30</v>
      </c>
      <c r="C61" s="1155"/>
      <c r="D61" s="230"/>
      <c r="E61" s="548" t="s">
        <v>539</v>
      </c>
      <c r="F61" s="219"/>
      <c r="G61" s="588" t="e">
        <f>ROUND(G56/60,2)</f>
        <v>#N/A</v>
      </c>
      <c r="H61" s="160"/>
      <c r="I61" s="159"/>
      <c r="J61" s="588" t="e">
        <f>ROUND(J56/60,2)</f>
        <v>#N/A</v>
      </c>
      <c r="K61" s="33"/>
    </row>
    <row r="62" spans="2:11" ht="18" customHeight="1" x14ac:dyDescent="0.25">
      <c r="B62" s="222" t="s">
        <v>28</v>
      </c>
      <c r="C62" s="1156"/>
      <c r="D62" s="230"/>
      <c r="E62" s="548" t="s">
        <v>539</v>
      </c>
      <c r="F62" s="219"/>
      <c r="G62" s="588" t="e">
        <f>ROUND(G57/60,2)</f>
        <v>#N/A</v>
      </c>
      <c r="H62" s="160"/>
      <c r="I62" s="159"/>
      <c r="J62" s="588" t="e">
        <f>ROUND(J57/60,2)</f>
        <v>#N/A</v>
      </c>
      <c r="K62" s="33"/>
    </row>
    <row r="63" spans="2:11" ht="18" customHeight="1" x14ac:dyDescent="0.25">
      <c r="B63" s="181" t="s">
        <v>591</v>
      </c>
      <c r="C63" s="155"/>
      <c r="D63" s="155"/>
      <c r="E63" s="155"/>
      <c r="F63" s="182"/>
      <c r="G63" s="155"/>
      <c r="H63" s="155"/>
      <c r="I63" s="155"/>
      <c r="J63" s="155"/>
      <c r="K63" s="221"/>
    </row>
    <row r="64" spans="2:11" ht="18" customHeight="1" x14ac:dyDescent="0.25">
      <c r="B64" s="222" t="s">
        <v>588</v>
      </c>
      <c r="C64" s="162" t="s">
        <v>519</v>
      </c>
      <c r="D64" s="230"/>
      <c r="E64" s="548" t="s">
        <v>539</v>
      </c>
      <c r="F64" s="219"/>
      <c r="G64" s="167" t="str">
        <f>Cycle</f>
        <v>none</v>
      </c>
      <c r="H64" s="160"/>
      <c r="I64" s="159"/>
      <c r="J64" s="249" t="str">
        <f>Cycle</f>
        <v>none</v>
      </c>
      <c r="K64" s="33"/>
    </row>
    <row r="65" spans="1:12" s="35" customFormat="1" ht="18" customHeight="1" x14ac:dyDescent="0.25">
      <c r="B65" s="181" t="s">
        <v>619</v>
      </c>
      <c r="C65" s="155"/>
      <c r="D65" s="155"/>
      <c r="E65" s="155"/>
      <c r="F65" s="182"/>
      <c r="G65" s="155"/>
      <c r="H65" s="155"/>
      <c r="I65" s="155"/>
      <c r="J65" s="155"/>
      <c r="K65" s="221"/>
    </row>
    <row r="66" spans="1:12" s="35" customFormat="1" ht="18" customHeight="1" x14ac:dyDescent="0.25">
      <c r="B66" s="222" t="s">
        <v>27</v>
      </c>
      <c r="C66" s="1154" t="s">
        <v>620</v>
      </c>
      <c r="D66" s="1154" t="s">
        <v>621</v>
      </c>
      <c r="E66" s="548" t="s">
        <v>539</v>
      </c>
      <c r="F66" s="219"/>
      <c r="G66" s="588">
        <f>IF(Cycle="none",0,G$64+G59)</f>
        <v>0</v>
      </c>
      <c r="H66" s="160"/>
      <c r="I66" s="159"/>
      <c r="J66" s="588">
        <f>IF(Cycle="none",0,J$64+J59)</f>
        <v>0</v>
      </c>
      <c r="K66" s="33"/>
    </row>
    <row r="67" spans="1:12" s="35" customFormat="1" ht="18" customHeight="1" x14ac:dyDescent="0.25">
      <c r="B67" s="222" t="s">
        <v>29</v>
      </c>
      <c r="C67" s="1155"/>
      <c r="D67" s="1155"/>
      <c r="E67" s="548" t="s">
        <v>539</v>
      </c>
      <c r="F67" s="219"/>
      <c r="G67" s="588">
        <f>IF(Cycle="none",0,G$64+G60)</f>
        <v>0</v>
      </c>
      <c r="H67" s="160"/>
      <c r="I67" s="159"/>
      <c r="J67" s="588">
        <f>IF(Cycle="none",0,J$64+J60)</f>
        <v>0</v>
      </c>
      <c r="K67" s="33"/>
    </row>
    <row r="68" spans="1:12" s="35" customFormat="1" ht="18" customHeight="1" x14ac:dyDescent="0.25">
      <c r="B68" s="222" t="s">
        <v>30</v>
      </c>
      <c r="C68" s="1155"/>
      <c r="D68" s="1155"/>
      <c r="E68" s="548" t="s">
        <v>539</v>
      </c>
      <c r="F68" s="219"/>
      <c r="G68" s="588">
        <f>IF(Cycle="none",0,G$64+G61)</f>
        <v>0</v>
      </c>
      <c r="H68" s="160"/>
      <c r="I68" s="159"/>
      <c r="J68" s="588">
        <f>IF(Cycle="none",0,J$64+J61)</f>
        <v>0</v>
      </c>
      <c r="K68" s="33"/>
    </row>
    <row r="69" spans="1:12" s="35" customFormat="1" ht="18" customHeight="1" x14ac:dyDescent="0.25">
      <c r="B69" s="222" t="s">
        <v>28</v>
      </c>
      <c r="C69" s="1156"/>
      <c r="D69" s="1156"/>
      <c r="E69" s="548" t="s">
        <v>539</v>
      </c>
      <c r="F69" s="219"/>
      <c r="G69" s="588">
        <f>IF(Cycle="none",0,G$64+G62)</f>
        <v>0</v>
      </c>
      <c r="H69" s="160"/>
      <c r="I69" s="159"/>
      <c r="J69" s="588">
        <f>IF(Cycle="none",0,J$64+J62)</f>
        <v>0</v>
      </c>
      <c r="K69" s="33"/>
    </row>
    <row r="70" spans="1:12" s="35" customFormat="1" ht="18" customHeight="1" x14ac:dyDescent="0.25">
      <c r="B70" s="214" t="s">
        <v>608</v>
      </c>
      <c r="C70" s="238" t="s">
        <v>407</v>
      </c>
      <c r="D70" s="238" t="s">
        <v>613</v>
      </c>
      <c r="E70" s="238" t="s">
        <v>614</v>
      </c>
      <c r="F70" s="236"/>
      <c r="G70" s="217" t="str">
        <f>FirstDirection</f>
        <v>Direction 1</v>
      </c>
      <c r="H70" s="237"/>
      <c r="I70" s="215"/>
      <c r="J70" s="217" t="str">
        <f>SecondDirection</f>
        <v>Direction 2</v>
      </c>
      <c r="K70" s="216"/>
    </row>
    <row r="71" spans="1:12" ht="18" customHeight="1" x14ac:dyDescent="0.25">
      <c r="B71" s="231" t="s">
        <v>592</v>
      </c>
      <c r="C71" s="168"/>
      <c r="D71" s="168"/>
      <c r="E71" s="168"/>
      <c r="F71" s="232"/>
      <c r="G71" s="168"/>
      <c r="H71" s="168"/>
      <c r="I71" s="168"/>
      <c r="J71" s="168"/>
      <c r="K71" s="233"/>
    </row>
    <row r="72" spans="1:12" ht="18" customHeight="1" x14ac:dyDescent="0.35">
      <c r="B72" s="220" t="str">
        <f>CONCATENATE(FirstDetourName," for All Vehicles")</f>
        <v>Primary Detour for All Vehicles</v>
      </c>
      <c r="C72" s="162" t="s">
        <v>629</v>
      </c>
      <c r="D72" s="230"/>
      <c r="E72" s="548" t="s">
        <v>539</v>
      </c>
      <c r="F72" s="219"/>
      <c r="G72" s="588" t="e">
        <f>MAX(0,D1time1-TimeEX1)</f>
        <v>#N/A</v>
      </c>
      <c r="H72" s="160"/>
      <c r="I72" s="159"/>
      <c r="J72" s="588" t="e">
        <f>MAX(0,D1time2-TimeEX2)</f>
        <v>#N/A</v>
      </c>
      <c r="K72" s="33"/>
    </row>
    <row r="73" spans="1:12" ht="18" customHeight="1" x14ac:dyDescent="0.35">
      <c r="B73" s="220" t="str">
        <f>CONCATENATE(SecondDetourName," for All Vehicles")</f>
        <v>Secondary Detour for All Vehicles</v>
      </c>
      <c r="C73" s="162" t="s">
        <v>630</v>
      </c>
      <c r="D73" s="230"/>
      <c r="E73" s="548" t="s">
        <v>539</v>
      </c>
      <c r="F73" s="219"/>
      <c r="G73" s="588" t="e">
        <f>MAX(0,D2time1-TimeEX1)</f>
        <v>#N/A</v>
      </c>
      <c r="H73" s="160"/>
      <c r="I73" s="159"/>
      <c r="J73" s="588" t="e">
        <f>MAX(0,D2time2-TimeEX2)</f>
        <v>#N/A</v>
      </c>
      <c r="K73" s="33"/>
    </row>
    <row r="74" spans="1:12" ht="18" customHeight="1" x14ac:dyDescent="0.35">
      <c r="B74" s="220" t="str">
        <f>CONCATENATE(ThirdDetourName," for All Vehicles")</f>
        <v>Tertiary Detour for All Vehicles</v>
      </c>
      <c r="C74" s="162" t="s">
        <v>631</v>
      </c>
      <c r="D74" s="230"/>
      <c r="E74" s="548" t="s">
        <v>539</v>
      </c>
      <c r="F74" s="219"/>
      <c r="G74" s="588" t="e">
        <f>MAX(0,D3time1-TimeEX1)</f>
        <v>#N/A</v>
      </c>
      <c r="H74" s="160"/>
      <c r="I74" s="159"/>
      <c r="J74" s="588" t="e">
        <f>MAX(0,D3time2-TimeEX2)</f>
        <v>#N/A</v>
      </c>
      <c r="K74" s="33"/>
    </row>
    <row r="75" spans="1:12" ht="18" customHeight="1" x14ac:dyDescent="0.25">
      <c r="B75" s="231" t="s">
        <v>593</v>
      </c>
      <c r="C75" s="158"/>
      <c r="D75" s="158"/>
      <c r="E75" s="158"/>
      <c r="F75" s="234"/>
      <c r="G75" s="158"/>
      <c r="H75" s="158"/>
      <c r="I75" s="158"/>
      <c r="J75" s="158"/>
      <c r="K75" s="235"/>
    </row>
    <row r="76" spans="1:12" ht="18" customHeight="1" x14ac:dyDescent="0.35">
      <c r="B76" s="220" t="str">
        <f>CONCATENATE(FirstDetourName," for All Vehicles")</f>
        <v>Primary Detour for All Vehicles</v>
      </c>
      <c r="C76" s="162" t="s">
        <v>625</v>
      </c>
      <c r="D76" s="230"/>
      <c r="E76" s="548" t="s">
        <v>539</v>
      </c>
      <c r="F76" s="219"/>
      <c r="G76" s="588">
        <f>IF(D1length1="",0,MAX(0,D1length1-Length1))</f>
        <v>0</v>
      </c>
      <c r="H76" s="160"/>
      <c r="I76" s="159"/>
      <c r="J76" s="588">
        <f>IF(D1length2="",0,MAX(0,D1length2-Length2))</f>
        <v>0</v>
      </c>
      <c r="K76" s="33"/>
    </row>
    <row r="77" spans="1:12" ht="18" customHeight="1" x14ac:dyDescent="0.35">
      <c r="B77" s="220" t="str">
        <f>CONCATENATE(SecondDetourName," for All Vehicles")</f>
        <v>Secondary Detour for All Vehicles</v>
      </c>
      <c r="C77" s="162" t="s">
        <v>626</v>
      </c>
      <c r="D77" s="230"/>
      <c r="E77" s="548" t="s">
        <v>539</v>
      </c>
      <c r="F77" s="219"/>
      <c r="G77" s="588">
        <f>IF(D2length1="",0,MAX(0,D2length1-Length1))</f>
        <v>0</v>
      </c>
      <c r="H77" s="160"/>
      <c r="I77" s="159"/>
      <c r="J77" s="588">
        <f>IF(D2length2="",0,MAX(0,D2length2-Length2))</f>
        <v>0</v>
      </c>
      <c r="K77" s="33"/>
    </row>
    <row r="78" spans="1:12" ht="18" customHeight="1" x14ac:dyDescent="0.35">
      <c r="B78" s="220" t="str">
        <f>CONCATENATE(ThirdDetourName," for All Vehicles")</f>
        <v>Tertiary Detour for All Vehicles</v>
      </c>
      <c r="C78" s="162" t="s">
        <v>627</v>
      </c>
      <c r="D78" s="230"/>
      <c r="E78" s="548" t="s">
        <v>539</v>
      </c>
      <c r="F78" s="219"/>
      <c r="G78" s="588">
        <f>IF(D3length1="",0,MAX(0,D3length1-Length1))</f>
        <v>0</v>
      </c>
      <c r="H78" s="160"/>
      <c r="I78" s="159"/>
      <c r="J78" s="588">
        <f>IF(D3length2="",0,MAX(0,D3length2-Length2))</f>
        <v>0</v>
      </c>
      <c r="K78" s="33"/>
    </row>
    <row r="79" spans="1:12" x14ac:dyDescent="0.25">
      <c r="B79" s="218"/>
      <c r="G79" s="157"/>
      <c r="H79" s="157"/>
      <c r="I79" s="157"/>
      <c r="J79" s="157"/>
    </row>
    <row r="80" spans="1:12" x14ac:dyDescent="0.25">
      <c r="A80" s="35"/>
      <c r="B80" s="35"/>
      <c r="C80" s="35"/>
      <c r="D80" s="35"/>
      <c r="E80" s="35"/>
      <c r="G80" s="35"/>
      <c r="I80" s="35"/>
      <c r="J80" s="35"/>
      <c r="K80" s="35"/>
      <c r="L80" s="35"/>
    </row>
    <row r="81" spans="1:12" x14ac:dyDescent="0.25">
      <c r="A81" s="35"/>
      <c r="B81" s="35"/>
      <c r="C81" s="35"/>
      <c r="D81" s="35"/>
      <c r="E81" s="35"/>
      <c r="G81" s="35"/>
      <c r="I81" s="35"/>
      <c r="J81" s="35"/>
      <c r="K81" s="35"/>
      <c r="L81" s="35"/>
    </row>
    <row r="82" spans="1:12" x14ac:dyDescent="0.25">
      <c r="A82" s="35"/>
      <c r="B82" s="35"/>
      <c r="C82" s="35"/>
      <c r="D82" s="35"/>
      <c r="E82" s="35"/>
      <c r="G82" s="35"/>
      <c r="I82" s="35"/>
      <c r="J82" s="35"/>
      <c r="K82" s="35"/>
      <c r="L82" s="35"/>
    </row>
    <row r="83" spans="1:12" x14ac:dyDescent="0.25">
      <c r="A83" s="35"/>
      <c r="B83" s="35"/>
      <c r="C83" s="35"/>
      <c r="D83" s="35"/>
      <c r="E83" s="35"/>
      <c r="G83" s="35"/>
      <c r="I83" s="35"/>
      <c r="J83" s="35"/>
      <c r="K83" s="35"/>
      <c r="L83" s="35"/>
    </row>
    <row r="84" spans="1:12" x14ac:dyDescent="0.25">
      <c r="A84" s="35"/>
      <c r="B84" s="35"/>
      <c r="C84" s="35"/>
      <c r="D84" s="35"/>
      <c r="E84" s="35"/>
      <c r="G84" s="35"/>
      <c r="I84" s="35"/>
      <c r="J84" s="35"/>
      <c r="K84" s="35"/>
      <c r="L84" s="35"/>
    </row>
    <row r="85" spans="1:12" x14ac:dyDescent="0.25">
      <c r="A85" s="35"/>
      <c r="B85" s="35"/>
      <c r="C85" s="35"/>
      <c r="D85" s="35"/>
      <c r="E85" s="35"/>
      <c r="G85" s="35"/>
      <c r="I85" s="35"/>
      <c r="J85" s="35"/>
      <c r="K85" s="35"/>
      <c r="L85" s="35"/>
    </row>
    <row r="86" spans="1:12" x14ac:dyDescent="0.25">
      <c r="A86" s="35"/>
      <c r="B86" s="35"/>
      <c r="C86" s="35"/>
      <c r="D86" s="35"/>
      <c r="E86" s="35"/>
      <c r="G86" s="35"/>
      <c r="I86" s="35"/>
      <c r="J86" s="35"/>
      <c r="K86" s="35"/>
      <c r="L86" s="35"/>
    </row>
    <row r="87" spans="1:12" x14ac:dyDescent="0.25">
      <c r="A87" s="35"/>
      <c r="B87" s="35"/>
      <c r="C87" s="35"/>
      <c r="D87" s="35"/>
      <c r="E87" s="35"/>
      <c r="G87" s="35"/>
      <c r="I87" s="35"/>
      <c r="J87" s="35"/>
      <c r="K87" s="35"/>
      <c r="L87" s="35"/>
    </row>
    <row r="88" spans="1:12" x14ac:dyDescent="0.25">
      <c r="A88" s="35"/>
      <c r="B88" s="35"/>
      <c r="C88" s="35"/>
      <c r="D88" s="35"/>
      <c r="E88" s="35"/>
      <c r="G88" s="35"/>
      <c r="I88" s="35"/>
      <c r="J88" s="35"/>
      <c r="K88" s="35"/>
      <c r="L88" s="35"/>
    </row>
    <row r="89" spans="1:12" x14ac:dyDescent="0.25">
      <c r="A89" s="35"/>
      <c r="B89" s="35"/>
      <c r="C89" s="35"/>
      <c r="D89" s="35"/>
      <c r="E89" s="35"/>
      <c r="G89" s="35"/>
      <c r="I89" s="35"/>
      <c r="J89" s="35"/>
      <c r="K89" s="35"/>
      <c r="L89" s="35"/>
    </row>
    <row r="90" spans="1:12" x14ac:dyDescent="0.25">
      <c r="A90" s="35"/>
      <c r="B90" s="35"/>
      <c r="C90" s="35"/>
      <c r="D90" s="35"/>
      <c r="E90" s="35"/>
      <c r="G90" s="35"/>
      <c r="I90" s="35"/>
      <c r="J90" s="35"/>
      <c r="K90" s="35"/>
      <c r="L90" s="35"/>
    </row>
    <row r="91" spans="1:12" x14ac:dyDescent="0.25">
      <c r="A91" s="35"/>
      <c r="B91" s="35"/>
      <c r="C91" s="35"/>
      <c r="D91" s="35"/>
      <c r="E91" s="35"/>
      <c r="G91" s="35"/>
      <c r="I91" s="35"/>
      <c r="J91" s="35"/>
      <c r="K91" s="35"/>
      <c r="L91" s="35"/>
    </row>
    <row r="92" spans="1:12" x14ac:dyDescent="0.25">
      <c r="A92" s="35"/>
      <c r="B92" s="35"/>
      <c r="C92" s="35"/>
      <c r="D92" s="35"/>
      <c r="E92" s="35"/>
      <c r="G92" s="35"/>
      <c r="I92" s="35"/>
      <c r="J92" s="35"/>
      <c r="K92" s="35"/>
      <c r="L92" s="35"/>
    </row>
    <row r="93" spans="1:12" x14ac:dyDescent="0.25">
      <c r="A93" s="35"/>
      <c r="B93" s="35"/>
      <c r="C93" s="35"/>
      <c r="D93" s="35"/>
      <c r="E93" s="35"/>
      <c r="G93" s="35"/>
      <c r="I93" s="35"/>
      <c r="J93" s="35"/>
      <c r="K93" s="35"/>
      <c r="L93" s="35"/>
    </row>
    <row r="94" spans="1:12" x14ac:dyDescent="0.25">
      <c r="A94" s="35"/>
      <c r="B94" s="35"/>
      <c r="C94" s="35"/>
      <c r="D94" s="35"/>
      <c r="E94" s="35"/>
      <c r="G94" s="35"/>
      <c r="I94" s="35"/>
      <c r="J94" s="35"/>
      <c r="K94" s="35"/>
      <c r="L94" s="35"/>
    </row>
    <row r="95" spans="1:12" x14ac:dyDescent="0.25">
      <c r="A95" s="35"/>
      <c r="B95" s="35"/>
      <c r="C95" s="35"/>
      <c r="D95" s="35"/>
      <c r="E95" s="35"/>
      <c r="G95" s="35"/>
      <c r="I95" s="35"/>
      <c r="J95" s="35"/>
      <c r="K95" s="35"/>
      <c r="L95" s="35"/>
    </row>
    <row r="96" spans="1:12" x14ac:dyDescent="0.25">
      <c r="A96" s="35"/>
      <c r="B96" s="35"/>
      <c r="C96" s="35"/>
      <c r="D96" s="35"/>
      <c r="E96" s="35"/>
      <c r="G96" s="35"/>
      <c r="I96" s="35"/>
      <c r="J96" s="35"/>
      <c r="K96" s="35"/>
      <c r="L96" s="35"/>
    </row>
    <row r="97" spans="1:12" x14ac:dyDescent="0.25">
      <c r="A97" s="35"/>
      <c r="B97" s="35"/>
      <c r="C97" s="35"/>
      <c r="D97" s="35"/>
      <c r="E97" s="35"/>
      <c r="G97" s="35"/>
      <c r="I97" s="35"/>
      <c r="J97" s="35"/>
      <c r="K97" s="35"/>
      <c r="L97" s="35"/>
    </row>
    <row r="98" spans="1:12" x14ac:dyDescent="0.25">
      <c r="A98" s="35"/>
      <c r="B98" s="35"/>
      <c r="C98" s="35"/>
      <c r="D98" s="35"/>
      <c r="E98" s="35"/>
      <c r="G98" s="35"/>
      <c r="I98" s="35"/>
      <c r="J98" s="35"/>
      <c r="K98" s="35"/>
      <c r="L98" s="35"/>
    </row>
    <row r="99" spans="1:12" x14ac:dyDescent="0.25">
      <c r="A99" s="35"/>
      <c r="B99" s="35"/>
      <c r="C99" s="35"/>
      <c r="D99" s="35"/>
      <c r="E99" s="35"/>
      <c r="G99" s="35"/>
      <c r="I99" s="35"/>
      <c r="J99" s="35"/>
      <c r="K99" s="35"/>
      <c r="L99" s="35"/>
    </row>
    <row r="100" spans="1:12" x14ac:dyDescent="0.25">
      <c r="A100" s="35"/>
      <c r="B100" s="35"/>
      <c r="C100" s="35"/>
      <c r="D100" s="35"/>
      <c r="E100" s="35"/>
      <c r="G100" s="35"/>
      <c r="I100" s="35"/>
      <c r="J100" s="35"/>
      <c r="K100" s="35"/>
      <c r="L100" s="35"/>
    </row>
    <row r="101" spans="1:12" x14ac:dyDescent="0.25">
      <c r="A101" s="35"/>
      <c r="B101" s="35"/>
      <c r="C101" s="35"/>
      <c r="D101" s="35"/>
      <c r="E101" s="35"/>
      <c r="G101" s="35"/>
      <c r="I101" s="35"/>
      <c r="J101" s="35"/>
      <c r="K101" s="35"/>
      <c r="L101" s="35"/>
    </row>
    <row r="102" spans="1:12" x14ac:dyDescent="0.25">
      <c r="A102" s="35"/>
      <c r="B102" s="35"/>
      <c r="C102" s="35"/>
      <c r="D102" s="35"/>
      <c r="E102" s="35"/>
      <c r="G102" s="35"/>
      <c r="I102" s="35"/>
      <c r="J102" s="35"/>
      <c r="K102" s="35"/>
      <c r="L102" s="35"/>
    </row>
    <row r="103" spans="1:12" x14ac:dyDescent="0.25">
      <c r="A103" s="35"/>
      <c r="B103" s="35"/>
      <c r="C103" s="35"/>
      <c r="D103" s="35"/>
      <c r="E103" s="35"/>
      <c r="G103" s="35"/>
      <c r="I103" s="35"/>
      <c r="J103" s="35"/>
      <c r="K103" s="35"/>
      <c r="L103" s="35"/>
    </row>
    <row r="104" spans="1:12" x14ac:dyDescent="0.25">
      <c r="A104" s="35"/>
      <c r="B104" s="35"/>
      <c r="C104" s="35"/>
      <c r="D104" s="35"/>
      <c r="E104" s="35"/>
      <c r="G104" s="35"/>
      <c r="I104" s="35"/>
      <c r="J104" s="35"/>
      <c r="K104" s="35"/>
      <c r="L104" s="35"/>
    </row>
    <row r="105" spans="1:12" x14ac:dyDescent="0.25">
      <c r="A105" s="35"/>
      <c r="B105" s="35"/>
      <c r="C105" s="35"/>
      <c r="D105" s="35"/>
      <c r="E105" s="35"/>
      <c r="G105" s="35"/>
      <c r="I105" s="35"/>
      <c r="J105" s="35"/>
      <c r="K105" s="35"/>
      <c r="L105" s="35"/>
    </row>
    <row r="106" spans="1:12" x14ac:dyDescent="0.25">
      <c r="A106" s="35"/>
      <c r="B106" s="35"/>
      <c r="C106" s="35"/>
      <c r="D106" s="35"/>
      <c r="E106" s="35"/>
      <c r="G106" s="35"/>
      <c r="I106" s="35"/>
      <c r="J106" s="35"/>
      <c r="K106" s="35"/>
      <c r="L106" s="35"/>
    </row>
    <row r="107" spans="1:12" x14ac:dyDescent="0.25">
      <c r="A107" s="35"/>
      <c r="B107" s="35"/>
      <c r="C107" s="35"/>
      <c r="D107" s="35"/>
      <c r="E107" s="35"/>
      <c r="G107" s="35"/>
      <c r="I107" s="35"/>
      <c r="J107" s="35"/>
      <c r="K107" s="35"/>
      <c r="L107" s="35"/>
    </row>
    <row r="108" spans="1:12" x14ac:dyDescent="0.25">
      <c r="A108" s="35"/>
      <c r="B108" s="35"/>
      <c r="C108" s="35"/>
      <c r="D108" s="35"/>
      <c r="E108" s="35"/>
      <c r="G108" s="35"/>
      <c r="I108" s="35"/>
      <c r="J108" s="35"/>
      <c r="K108" s="35"/>
      <c r="L108" s="35"/>
    </row>
    <row r="109" spans="1:12" x14ac:dyDescent="0.25">
      <c r="A109" s="35"/>
      <c r="B109" s="35"/>
      <c r="C109" s="35"/>
      <c r="D109" s="35"/>
      <c r="E109" s="35"/>
      <c r="G109" s="35"/>
      <c r="I109" s="35"/>
      <c r="J109" s="35"/>
      <c r="K109" s="35"/>
      <c r="L109" s="35"/>
    </row>
    <row r="110" spans="1:12" ht="18" customHeight="1" x14ac:dyDescent="0.25">
      <c r="A110" s="35"/>
      <c r="B110" s="35"/>
      <c r="C110" s="35"/>
      <c r="D110" s="35"/>
      <c r="E110" s="35"/>
      <c r="G110" s="35"/>
      <c r="I110" s="35"/>
      <c r="J110" s="35"/>
      <c r="K110" s="35"/>
      <c r="L110" s="35"/>
    </row>
    <row r="111" spans="1:12" ht="18" customHeight="1" x14ac:dyDescent="0.25">
      <c r="A111" s="35"/>
      <c r="B111" s="35"/>
      <c r="C111" s="35"/>
      <c r="D111" s="35"/>
      <c r="E111" s="35"/>
      <c r="G111" s="35"/>
      <c r="I111" s="35"/>
      <c r="J111" s="35"/>
      <c r="K111" s="35"/>
      <c r="L111" s="35"/>
    </row>
    <row r="112" spans="1:12" ht="18" customHeight="1" x14ac:dyDescent="0.25">
      <c r="A112" s="35"/>
      <c r="B112" s="35"/>
      <c r="C112" s="35"/>
      <c r="D112" s="35"/>
      <c r="E112" s="35"/>
      <c r="G112" s="35"/>
      <c r="I112" s="35"/>
      <c r="J112" s="35"/>
      <c r="K112" s="35"/>
      <c r="L112" s="35"/>
    </row>
    <row r="113" spans="1:12" ht="18" customHeight="1" x14ac:dyDescent="0.25">
      <c r="A113" s="35"/>
      <c r="B113" s="35"/>
      <c r="C113" s="35"/>
      <c r="D113" s="35"/>
      <c r="E113" s="35"/>
      <c r="G113" s="35"/>
      <c r="I113" s="35"/>
      <c r="J113" s="35"/>
      <c r="K113" s="35"/>
      <c r="L113" s="35"/>
    </row>
    <row r="114" spans="1:12" ht="18" customHeight="1" x14ac:dyDescent="0.25">
      <c r="A114" s="35"/>
      <c r="B114" s="35"/>
      <c r="C114" s="35"/>
      <c r="D114" s="35"/>
      <c r="E114" s="35"/>
      <c r="G114" s="35"/>
      <c r="I114" s="35"/>
      <c r="J114" s="35"/>
      <c r="K114" s="35"/>
      <c r="L114" s="35"/>
    </row>
    <row r="115" spans="1:12" ht="18" customHeight="1" x14ac:dyDescent="0.25">
      <c r="A115" s="35"/>
      <c r="B115" s="35"/>
      <c r="C115" s="35"/>
      <c r="D115" s="35"/>
      <c r="E115" s="35"/>
      <c r="G115" s="35"/>
      <c r="I115" s="35"/>
      <c r="J115" s="35"/>
      <c r="K115" s="35"/>
      <c r="L115" s="35"/>
    </row>
    <row r="116" spans="1:12" ht="18" customHeight="1" x14ac:dyDescent="0.25">
      <c r="A116" s="35"/>
      <c r="B116" s="35"/>
      <c r="C116" s="35"/>
      <c r="D116" s="35"/>
      <c r="E116" s="35"/>
      <c r="G116" s="35"/>
      <c r="I116" s="35"/>
      <c r="J116" s="35"/>
      <c r="K116" s="35"/>
      <c r="L116" s="35"/>
    </row>
    <row r="117" spans="1:12" x14ac:dyDescent="0.25">
      <c r="A117" s="35"/>
      <c r="B117" s="35"/>
      <c r="C117" s="35"/>
      <c r="D117" s="35"/>
      <c r="E117" s="35"/>
      <c r="G117" s="35"/>
      <c r="I117" s="35"/>
      <c r="J117" s="35"/>
      <c r="K117" s="35"/>
      <c r="L117" s="35"/>
    </row>
    <row r="118" spans="1:12" x14ac:dyDescent="0.25">
      <c r="B118" s="35"/>
      <c r="C118" s="247"/>
      <c r="D118" s="247"/>
      <c r="E118" s="247"/>
      <c r="G118" s="35"/>
      <c r="I118" s="35"/>
      <c r="J118" s="35"/>
      <c r="K118" s="35"/>
    </row>
    <row r="119" spans="1:12" x14ac:dyDescent="0.25">
      <c r="B119" s="35"/>
      <c r="C119" s="247"/>
      <c r="D119" s="247"/>
      <c r="E119" s="247"/>
      <c r="G119" s="35"/>
      <c r="I119" s="35"/>
      <c r="J119" s="35"/>
      <c r="K119" s="35"/>
    </row>
  </sheetData>
  <sheetProtection algorithmName="SHA-512" hashValue="DxbrSQVcTLg8i4hwS2pc0mWdWEmpzz32E2263gBUF+a8tbNdhua++Mcd+DzgMm7jg1wfCAEUd4jK4Dx94qX6Rg==" saltValue="OSudKzHH+5MFBFaaMkh1OQ==" spinCount="100000" sheet="1" objects="1" scenarios="1"/>
  <mergeCells count="13">
    <mergeCell ref="B2:K2"/>
    <mergeCell ref="B3:K3"/>
    <mergeCell ref="D54:D57"/>
    <mergeCell ref="C59:C62"/>
    <mergeCell ref="C66:C69"/>
    <mergeCell ref="D66:D69"/>
    <mergeCell ref="D22:D25"/>
    <mergeCell ref="C27:C30"/>
    <mergeCell ref="C37:C40"/>
    <mergeCell ref="D37:D40"/>
    <mergeCell ref="D43:D46"/>
    <mergeCell ref="C48:C51"/>
    <mergeCell ref="C32:C3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B2:W70"/>
  <sheetViews>
    <sheetView showGridLines="0" zoomScaleNormal="100" workbookViewId="0">
      <selection activeCell="D9" sqref="D9"/>
    </sheetView>
  </sheetViews>
  <sheetFormatPr defaultRowHeight="15" x14ac:dyDescent="0.25"/>
  <cols>
    <col min="2" max="2" width="9.28515625" bestFit="1" customWidth="1"/>
    <col min="3" max="3" width="9.140625" style="35"/>
    <col min="4" max="7" width="9.28515625" bestFit="1" customWidth="1"/>
    <col min="8" max="8" width="10.28515625" bestFit="1" customWidth="1"/>
    <col min="9" max="9" width="10.5703125" bestFit="1" customWidth="1"/>
    <col min="10" max="10" width="10.5703125" style="568" customWidth="1"/>
    <col min="11" max="11" width="9.28515625" bestFit="1" customWidth="1"/>
    <col min="12" max="12" width="5.5703125" style="35" bestFit="1" customWidth="1"/>
    <col min="13" max="13" width="5.5703125" style="35" customWidth="1"/>
    <col min="14" max="15" width="5.5703125" style="35" bestFit="1" customWidth="1"/>
    <col min="16" max="16" width="9.28515625" bestFit="1" customWidth="1"/>
    <col min="17" max="17" width="9.7109375" style="35" customWidth="1"/>
    <col min="18" max="20" width="8.7109375" style="35" customWidth="1"/>
    <col min="21" max="21" width="10.7109375" style="35" bestFit="1" customWidth="1"/>
  </cols>
  <sheetData>
    <row r="2" spans="2:23" s="35" customFormat="1" ht="36" customHeight="1" x14ac:dyDescent="0.25">
      <c r="B2" s="1157" t="s">
        <v>372</v>
      </c>
      <c r="C2" s="1158"/>
      <c r="D2" s="1158"/>
      <c r="E2" s="1158"/>
      <c r="F2" s="1158"/>
      <c r="G2" s="1158"/>
      <c r="H2" s="1158"/>
      <c r="I2" s="1158"/>
      <c r="J2" s="1158"/>
      <c r="K2" s="1158"/>
      <c r="L2" s="1158"/>
      <c r="M2" s="1158"/>
      <c r="N2" s="1158"/>
      <c r="O2" s="1158"/>
      <c r="P2" s="1158"/>
      <c r="Q2" s="1158"/>
      <c r="R2" s="1158"/>
      <c r="S2" s="1158"/>
      <c r="T2" s="1158"/>
      <c r="U2" s="1159"/>
    </row>
    <row r="3" spans="2:23" s="35" customFormat="1" ht="59.25" customHeight="1" x14ac:dyDescent="0.25">
      <c r="B3" s="1167" t="s">
        <v>1157</v>
      </c>
      <c r="C3" s="1168"/>
      <c r="D3" s="1168"/>
      <c r="E3" s="1168"/>
      <c r="F3" s="1168"/>
      <c r="G3" s="1168"/>
      <c r="H3" s="1168"/>
      <c r="I3" s="1168"/>
      <c r="J3" s="1168"/>
      <c r="K3" s="1168"/>
      <c r="L3" s="1168"/>
      <c r="M3" s="1168"/>
      <c r="N3" s="1168"/>
      <c r="O3" s="1168"/>
      <c r="P3" s="1168"/>
      <c r="Q3" s="1168"/>
      <c r="R3" s="1168"/>
      <c r="S3" s="1168"/>
      <c r="T3" s="1168"/>
      <c r="U3" s="1169"/>
    </row>
    <row r="6" spans="2:23" x14ac:dyDescent="0.25">
      <c r="B6" s="1165" t="str">
        <f>FirstDirection</f>
        <v>Direction 1</v>
      </c>
      <c r="C6" s="1166"/>
      <c r="D6" s="1166"/>
      <c r="E6" s="353" t="s">
        <v>633</v>
      </c>
      <c r="F6" s="1172" t="s">
        <v>636</v>
      </c>
      <c r="G6" s="1161"/>
      <c r="H6" s="1173"/>
      <c r="I6" s="252" t="s">
        <v>635</v>
      </c>
      <c r="J6" s="578" t="s">
        <v>239</v>
      </c>
      <c r="K6" s="265" t="s">
        <v>646</v>
      </c>
      <c r="L6" s="1160" t="s">
        <v>628</v>
      </c>
      <c r="M6" s="1161"/>
      <c r="N6" s="1161"/>
      <c r="O6" s="1162"/>
      <c r="P6" s="271" t="s">
        <v>842</v>
      </c>
      <c r="Q6" s="1160" t="s">
        <v>860</v>
      </c>
      <c r="R6" s="1161"/>
      <c r="S6" s="1161"/>
      <c r="T6" s="1162"/>
      <c r="U6" s="263" t="s">
        <v>239</v>
      </c>
      <c r="V6" s="157"/>
      <c r="W6" s="157"/>
    </row>
    <row r="7" spans="2:23" x14ac:dyDescent="0.25">
      <c r="B7" s="253" t="s">
        <v>527</v>
      </c>
      <c r="C7" s="386" t="s">
        <v>528</v>
      </c>
      <c r="D7" s="264" t="s">
        <v>628</v>
      </c>
      <c r="E7" s="267" t="s">
        <v>579</v>
      </c>
      <c r="F7" s="253" t="s">
        <v>634</v>
      </c>
      <c r="G7" s="253" t="s">
        <v>239</v>
      </c>
      <c r="H7" s="253" t="s">
        <v>645</v>
      </c>
      <c r="I7" s="253" t="s">
        <v>579</v>
      </c>
      <c r="J7" s="264" t="s">
        <v>1204</v>
      </c>
      <c r="K7" s="264" t="s">
        <v>579</v>
      </c>
      <c r="L7" s="267" t="s">
        <v>203</v>
      </c>
      <c r="M7" s="253" t="s">
        <v>176</v>
      </c>
      <c r="N7" s="253" t="s">
        <v>559</v>
      </c>
      <c r="O7" s="268" t="s">
        <v>558</v>
      </c>
      <c r="P7" s="272" t="s">
        <v>1202</v>
      </c>
      <c r="Q7" s="267" t="s">
        <v>203</v>
      </c>
      <c r="R7" s="253" t="s">
        <v>176</v>
      </c>
      <c r="S7" s="253" t="s">
        <v>559</v>
      </c>
      <c r="T7" s="268" t="s">
        <v>558</v>
      </c>
      <c r="U7" s="266" t="s">
        <v>639</v>
      </c>
      <c r="V7" s="157"/>
      <c r="W7" s="157"/>
    </row>
    <row r="8" spans="2:23" s="35" customFormat="1" x14ac:dyDescent="0.25">
      <c r="B8" s="195"/>
      <c r="C8" s="376" t="s">
        <v>647</v>
      </c>
      <c r="D8" s="245" t="s">
        <v>533</v>
      </c>
      <c r="E8" s="183" t="s">
        <v>644</v>
      </c>
      <c r="F8" s="195" t="s">
        <v>644</v>
      </c>
      <c r="G8" s="195" t="s">
        <v>644</v>
      </c>
      <c r="H8" s="195" t="s">
        <v>644</v>
      </c>
      <c r="I8" s="195" t="s">
        <v>644</v>
      </c>
      <c r="J8" s="576" t="s">
        <v>644</v>
      </c>
      <c r="K8" s="245" t="s">
        <v>537</v>
      </c>
      <c r="L8" s="1163" t="s">
        <v>649</v>
      </c>
      <c r="M8" s="699"/>
      <c r="N8" s="699"/>
      <c r="O8" s="1164"/>
      <c r="P8" s="273" t="s">
        <v>648</v>
      </c>
      <c r="Q8" s="1163" t="s">
        <v>584</v>
      </c>
      <c r="R8" s="699"/>
      <c r="S8" s="699"/>
      <c r="T8" s="1164"/>
      <c r="U8" s="246" t="s">
        <v>584</v>
      </c>
      <c r="V8" s="157"/>
      <c r="W8" s="157"/>
    </row>
    <row r="9" spans="2:23" x14ac:dyDescent="0.25">
      <c r="B9" s="152">
        <f>IF(TimeStart1="All Day",0,TimeStart1)</f>
        <v>0</v>
      </c>
      <c r="C9" s="177" t="s">
        <v>531</v>
      </c>
      <c r="D9" s="248" t="e">
        <f>Volumes!BZ8</f>
        <v>#N/A</v>
      </c>
      <c r="E9" s="178">
        <v>0</v>
      </c>
      <c r="F9" s="196" t="e">
        <f t="shared" ref="F9:F32" si="0">MIN(D9,Capacity1)</f>
        <v>#N/A</v>
      </c>
      <c r="G9" s="196" t="e">
        <f>E9+F9</f>
        <v>#N/A</v>
      </c>
      <c r="H9" s="196" t="e">
        <f t="shared" ref="H9:H32" si="1">MIN(WZCap1,G9)</f>
        <v>#N/A</v>
      </c>
      <c r="I9" s="196" t="e">
        <f>G9-H9</f>
        <v>#N/A</v>
      </c>
      <c r="J9" s="577" t="e">
        <f t="shared" ref="J9:J32" si="2">IF(I9&gt;0,IF(I8&gt;0,H9,I9),I9)</f>
        <v>#N/A</v>
      </c>
      <c r="K9" s="250" t="e">
        <f>ROUND(((I9/LanesEX1)*AvgLength1)/5280,1)</f>
        <v>#N/A</v>
      </c>
      <c r="L9" s="269" t="e">
        <f>MIN(I9,F9)-M9-N9-O9</f>
        <v>#N/A</v>
      </c>
      <c r="M9" s="333" t="e">
        <f t="shared" ref="M9:M32" si="3">IF(ADTPCE1wz&gt;0,ROUND(MIN(I9,F9)*((ADTSU1wz*FHVsuct)/ADTPCE1wz),0),0)</f>
        <v>#N/A</v>
      </c>
      <c r="N9" s="333" t="e">
        <f t="shared" ref="N9:N32" si="4">IF(ADTPCE1wz&gt;0,ROUND(MIN(I9,F9)*((ADTCT1wz*FHVsuct)/ADTPCE1wz),0),0)</f>
        <v>#N/A</v>
      </c>
      <c r="O9" s="270" t="e">
        <f t="shared" ref="O9:O32" si="5">IF(ADTPCE1wz&gt;0,ROUND(MIN(I9,F9)*((ADTRV1wz*fHVrv)/ADTPCE1wz),0),0)</f>
        <v>#N/A</v>
      </c>
      <c r="P9" s="274" t="e">
        <f t="shared" ref="P9:P32" si="6">ROUND(((K9/Qspeed1)+(((K9-(Taper1/5280))/AvgLength1)*(1/WZCap1))-(K9/wzFFS1))*60,2)</f>
        <v>#N/A</v>
      </c>
      <c r="Q9" s="133" t="e">
        <f t="shared" ref="Q9:Q32" si="7">IF(L9&gt;0,L9*($P9+QDecel1pc),0)</f>
        <v>#N/A</v>
      </c>
      <c r="R9" s="352" t="e">
        <f t="shared" ref="R9:R32" si="8">IF(M9&gt;0,M9*($P9+QDecel1su),0)</f>
        <v>#N/A</v>
      </c>
      <c r="S9" s="352" t="e">
        <f t="shared" ref="S9:S32" si="9">IF(N9&gt;0,N9*($P9+QDecel1ct),0)</f>
        <v>#N/A</v>
      </c>
      <c r="T9" s="184" t="e">
        <f t="shared" ref="T9:T32" si="10">IF(O9&gt;0,O9*($P9+QDecel1rv),0)</f>
        <v>#N/A</v>
      </c>
      <c r="U9" s="251" t="e">
        <f>SUM(Q9:T9)</f>
        <v>#N/A</v>
      </c>
      <c r="V9" s="157"/>
      <c r="W9" s="157"/>
    </row>
    <row r="10" spans="2:23" x14ac:dyDescent="0.25">
      <c r="B10" s="152">
        <f>IF(B9+TIME(1,0,0)=1,TIME(0,0,0),IF(B9+TIME(1,0,0)&gt;1,B9+TIME(1,0,0)-1,B9+TIME(1,0,0)))</f>
        <v>4.1666666666666664E-2</v>
      </c>
      <c r="C10" s="177" t="str">
        <f t="shared" ref="C10:C32" si="11">IF(TimeEnd1="All Day","YES",IF(ABS(TimeEnd1-B10)&lt;0.0000000001,"no",IF(C9="YES","YES","no")))</f>
        <v>YES</v>
      </c>
      <c r="D10" s="301" t="e">
        <f>Volumes!BZ9</f>
        <v>#N/A</v>
      </c>
      <c r="E10" s="178" t="e">
        <f>I9</f>
        <v>#N/A</v>
      </c>
      <c r="F10" s="350" t="e">
        <f t="shared" si="0"/>
        <v>#N/A</v>
      </c>
      <c r="G10" s="196" t="e">
        <f t="shared" ref="G10" si="12">E10+F10</f>
        <v>#N/A</v>
      </c>
      <c r="H10" s="350" t="e">
        <f t="shared" si="1"/>
        <v>#N/A</v>
      </c>
      <c r="I10" s="196" t="e">
        <f t="shared" ref="I10:I32" si="13">G10-H10</f>
        <v>#N/A</v>
      </c>
      <c r="J10" s="577" t="e">
        <f t="shared" si="2"/>
        <v>#N/A</v>
      </c>
      <c r="K10" s="250" t="e">
        <f t="shared" ref="K10:K32" si="14">ROUND(((I10/LanesEX1)*AvgLength1)/5280,1)</f>
        <v>#N/A</v>
      </c>
      <c r="L10" s="269" t="e">
        <f t="shared" ref="L10:L32" si="15">MIN(I10,F10)-M10-N10-O10</f>
        <v>#N/A</v>
      </c>
      <c r="M10" s="584" t="e">
        <f t="shared" si="3"/>
        <v>#N/A</v>
      </c>
      <c r="N10" s="584" t="e">
        <f t="shared" si="4"/>
        <v>#N/A</v>
      </c>
      <c r="O10" s="270" t="e">
        <f t="shared" si="5"/>
        <v>#N/A</v>
      </c>
      <c r="P10" s="274" t="e">
        <f t="shared" si="6"/>
        <v>#N/A</v>
      </c>
      <c r="Q10" s="133" t="e">
        <f t="shared" si="7"/>
        <v>#N/A</v>
      </c>
      <c r="R10" s="352" t="e">
        <f t="shared" si="8"/>
        <v>#N/A</v>
      </c>
      <c r="S10" s="352" t="e">
        <f t="shared" si="9"/>
        <v>#N/A</v>
      </c>
      <c r="T10" s="184" t="e">
        <f t="shared" si="10"/>
        <v>#N/A</v>
      </c>
      <c r="U10" s="251" t="e">
        <f t="shared" ref="U10:U32" si="16">SUM(Q10:T10)</f>
        <v>#N/A</v>
      </c>
      <c r="V10" s="157"/>
      <c r="W10" s="157"/>
    </row>
    <row r="11" spans="2:23" x14ac:dyDescent="0.25">
      <c r="B11" s="152">
        <f t="shared" ref="B11:B32" si="17">IF(B10+TIME(1,0,0)=1,TIME(0,0,0),IF(B10+TIME(1,0,0)&gt;1,B10+TIME(1,0,0)-1,B10+TIME(1,0,0)))</f>
        <v>8.3333333333333329E-2</v>
      </c>
      <c r="C11" s="177" t="str">
        <f t="shared" si="11"/>
        <v>YES</v>
      </c>
      <c r="D11" s="301" t="e">
        <f>Volumes!BZ10</f>
        <v>#N/A</v>
      </c>
      <c r="E11" s="178" t="e">
        <f t="shared" ref="E11:E32" si="18">I10</f>
        <v>#N/A</v>
      </c>
      <c r="F11" s="350" t="e">
        <f t="shared" si="0"/>
        <v>#N/A</v>
      </c>
      <c r="G11" s="350" t="e">
        <f t="shared" ref="G11:G32" si="19">E11+F11</f>
        <v>#N/A</v>
      </c>
      <c r="H11" s="350" t="e">
        <f t="shared" si="1"/>
        <v>#N/A</v>
      </c>
      <c r="I11" s="196" t="e">
        <f t="shared" si="13"/>
        <v>#N/A</v>
      </c>
      <c r="J11" s="577" t="e">
        <f t="shared" si="2"/>
        <v>#N/A</v>
      </c>
      <c r="K11" s="250" t="e">
        <f t="shared" si="14"/>
        <v>#N/A</v>
      </c>
      <c r="L11" s="269" t="e">
        <f t="shared" si="15"/>
        <v>#N/A</v>
      </c>
      <c r="M11" s="584" t="e">
        <f t="shared" si="3"/>
        <v>#N/A</v>
      </c>
      <c r="N11" s="584" t="e">
        <f t="shared" si="4"/>
        <v>#N/A</v>
      </c>
      <c r="O11" s="270" t="e">
        <f t="shared" si="5"/>
        <v>#N/A</v>
      </c>
      <c r="P11" s="274" t="e">
        <f t="shared" si="6"/>
        <v>#N/A</v>
      </c>
      <c r="Q11" s="133" t="e">
        <f t="shared" si="7"/>
        <v>#N/A</v>
      </c>
      <c r="R11" s="352" t="e">
        <f t="shared" si="8"/>
        <v>#N/A</v>
      </c>
      <c r="S11" s="352" t="e">
        <f t="shared" si="9"/>
        <v>#N/A</v>
      </c>
      <c r="T11" s="184" t="e">
        <f t="shared" si="10"/>
        <v>#N/A</v>
      </c>
      <c r="U11" s="251" t="e">
        <f t="shared" si="16"/>
        <v>#N/A</v>
      </c>
      <c r="V11" s="157"/>
      <c r="W11" s="157"/>
    </row>
    <row r="12" spans="2:23" x14ac:dyDescent="0.25">
      <c r="B12" s="152">
        <f t="shared" si="17"/>
        <v>0.125</v>
      </c>
      <c r="C12" s="177" t="str">
        <f t="shared" si="11"/>
        <v>YES</v>
      </c>
      <c r="D12" s="301" t="e">
        <f>Volumes!BZ11</f>
        <v>#N/A</v>
      </c>
      <c r="E12" s="178" t="e">
        <f t="shared" si="18"/>
        <v>#N/A</v>
      </c>
      <c r="F12" s="350" t="e">
        <f t="shared" si="0"/>
        <v>#N/A</v>
      </c>
      <c r="G12" s="350" t="e">
        <f t="shared" si="19"/>
        <v>#N/A</v>
      </c>
      <c r="H12" s="350" t="e">
        <f t="shared" si="1"/>
        <v>#N/A</v>
      </c>
      <c r="I12" s="196" t="e">
        <f t="shared" si="13"/>
        <v>#N/A</v>
      </c>
      <c r="J12" s="577" t="e">
        <f t="shared" si="2"/>
        <v>#N/A</v>
      </c>
      <c r="K12" s="250" t="e">
        <f t="shared" si="14"/>
        <v>#N/A</v>
      </c>
      <c r="L12" s="269" t="e">
        <f t="shared" si="15"/>
        <v>#N/A</v>
      </c>
      <c r="M12" s="584" t="e">
        <f t="shared" si="3"/>
        <v>#N/A</v>
      </c>
      <c r="N12" s="584" t="e">
        <f t="shared" si="4"/>
        <v>#N/A</v>
      </c>
      <c r="O12" s="270" t="e">
        <f t="shared" si="5"/>
        <v>#N/A</v>
      </c>
      <c r="P12" s="274" t="e">
        <f t="shared" si="6"/>
        <v>#N/A</v>
      </c>
      <c r="Q12" s="133" t="e">
        <f t="shared" si="7"/>
        <v>#N/A</v>
      </c>
      <c r="R12" s="352" t="e">
        <f t="shared" si="8"/>
        <v>#N/A</v>
      </c>
      <c r="S12" s="352" t="e">
        <f t="shared" si="9"/>
        <v>#N/A</v>
      </c>
      <c r="T12" s="184" t="e">
        <f t="shared" si="10"/>
        <v>#N/A</v>
      </c>
      <c r="U12" s="251" t="e">
        <f t="shared" si="16"/>
        <v>#N/A</v>
      </c>
      <c r="V12" s="157"/>
      <c r="W12" s="157"/>
    </row>
    <row r="13" spans="2:23" x14ac:dyDescent="0.25">
      <c r="B13" s="152">
        <f t="shared" si="17"/>
        <v>0.16666666666666666</v>
      </c>
      <c r="C13" s="177" t="str">
        <f t="shared" si="11"/>
        <v>YES</v>
      </c>
      <c r="D13" s="301" t="e">
        <f>Volumes!BZ12</f>
        <v>#N/A</v>
      </c>
      <c r="E13" s="178" t="e">
        <f t="shared" si="18"/>
        <v>#N/A</v>
      </c>
      <c r="F13" s="350" t="e">
        <f t="shared" si="0"/>
        <v>#N/A</v>
      </c>
      <c r="G13" s="350" t="e">
        <f t="shared" si="19"/>
        <v>#N/A</v>
      </c>
      <c r="H13" s="350" t="e">
        <f t="shared" si="1"/>
        <v>#N/A</v>
      </c>
      <c r="I13" s="196" t="e">
        <f t="shared" si="13"/>
        <v>#N/A</v>
      </c>
      <c r="J13" s="577" t="e">
        <f t="shared" si="2"/>
        <v>#N/A</v>
      </c>
      <c r="K13" s="250" t="e">
        <f t="shared" si="14"/>
        <v>#N/A</v>
      </c>
      <c r="L13" s="269" t="e">
        <f t="shared" si="15"/>
        <v>#N/A</v>
      </c>
      <c r="M13" s="584" t="e">
        <f t="shared" si="3"/>
        <v>#N/A</v>
      </c>
      <c r="N13" s="584" t="e">
        <f t="shared" si="4"/>
        <v>#N/A</v>
      </c>
      <c r="O13" s="270" t="e">
        <f t="shared" si="5"/>
        <v>#N/A</v>
      </c>
      <c r="P13" s="274" t="e">
        <f t="shared" si="6"/>
        <v>#N/A</v>
      </c>
      <c r="Q13" s="133" t="e">
        <f t="shared" si="7"/>
        <v>#N/A</v>
      </c>
      <c r="R13" s="352" t="e">
        <f t="shared" si="8"/>
        <v>#N/A</v>
      </c>
      <c r="S13" s="352" t="e">
        <f t="shared" si="9"/>
        <v>#N/A</v>
      </c>
      <c r="T13" s="184" t="e">
        <f t="shared" si="10"/>
        <v>#N/A</v>
      </c>
      <c r="U13" s="251" t="e">
        <f t="shared" si="16"/>
        <v>#N/A</v>
      </c>
      <c r="V13" s="157"/>
      <c r="W13" s="157"/>
    </row>
    <row r="14" spans="2:23" x14ac:dyDescent="0.25">
      <c r="B14" s="152">
        <f t="shared" si="17"/>
        <v>0.20833333333333331</v>
      </c>
      <c r="C14" s="177" t="str">
        <f t="shared" si="11"/>
        <v>YES</v>
      </c>
      <c r="D14" s="301" t="e">
        <f>Volumes!BZ13</f>
        <v>#N/A</v>
      </c>
      <c r="E14" s="178" t="e">
        <f t="shared" si="18"/>
        <v>#N/A</v>
      </c>
      <c r="F14" s="350" t="e">
        <f t="shared" si="0"/>
        <v>#N/A</v>
      </c>
      <c r="G14" s="350" t="e">
        <f t="shared" si="19"/>
        <v>#N/A</v>
      </c>
      <c r="H14" s="350" t="e">
        <f t="shared" si="1"/>
        <v>#N/A</v>
      </c>
      <c r="I14" s="196" t="e">
        <f t="shared" si="13"/>
        <v>#N/A</v>
      </c>
      <c r="J14" s="577" t="e">
        <f t="shared" si="2"/>
        <v>#N/A</v>
      </c>
      <c r="K14" s="250" t="e">
        <f t="shared" si="14"/>
        <v>#N/A</v>
      </c>
      <c r="L14" s="269" t="e">
        <f t="shared" si="15"/>
        <v>#N/A</v>
      </c>
      <c r="M14" s="584" t="e">
        <f t="shared" si="3"/>
        <v>#N/A</v>
      </c>
      <c r="N14" s="584" t="e">
        <f t="shared" si="4"/>
        <v>#N/A</v>
      </c>
      <c r="O14" s="270" t="e">
        <f t="shared" si="5"/>
        <v>#N/A</v>
      </c>
      <c r="P14" s="274" t="e">
        <f t="shared" si="6"/>
        <v>#N/A</v>
      </c>
      <c r="Q14" s="133" t="e">
        <f t="shared" si="7"/>
        <v>#N/A</v>
      </c>
      <c r="R14" s="352" t="e">
        <f t="shared" si="8"/>
        <v>#N/A</v>
      </c>
      <c r="S14" s="352" t="e">
        <f t="shared" si="9"/>
        <v>#N/A</v>
      </c>
      <c r="T14" s="184" t="e">
        <f t="shared" si="10"/>
        <v>#N/A</v>
      </c>
      <c r="U14" s="251" t="e">
        <f t="shared" si="16"/>
        <v>#N/A</v>
      </c>
      <c r="V14" s="157"/>
      <c r="W14" s="157"/>
    </row>
    <row r="15" spans="2:23" x14ac:dyDescent="0.25">
      <c r="B15" s="152">
        <f t="shared" si="17"/>
        <v>0.24999999999999997</v>
      </c>
      <c r="C15" s="177" t="str">
        <f t="shared" si="11"/>
        <v>YES</v>
      </c>
      <c r="D15" s="301" t="e">
        <f>Volumes!BZ14</f>
        <v>#N/A</v>
      </c>
      <c r="E15" s="178" t="e">
        <f t="shared" si="18"/>
        <v>#N/A</v>
      </c>
      <c r="F15" s="350" t="e">
        <f t="shared" si="0"/>
        <v>#N/A</v>
      </c>
      <c r="G15" s="350" t="e">
        <f t="shared" si="19"/>
        <v>#N/A</v>
      </c>
      <c r="H15" s="350" t="e">
        <f t="shared" si="1"/>
        <v>#N/A</v>
      </c>
      <c r="I15" s="196" t="e">
        <f t="shared" si="13"/>
        <v>#N/A</v>
      </c>
      <c r="J15" s="577" t="e">
        <f t="shared" si="2"/>
        <v>#N/A</v>
      </c>
      <c r="K15" s="250" t="e">
        <f t="shared" si="14"/>
        <v>#N/A</v>
      </c>
      <c r="L15" s="269" t="e">
        <f t="shared" si="15"/>
        <v>#N/A</v>
      </c>
      <c r="M15" s="584" t="e">
        <f t="shared" si="3"/>
        <v>#N/A</v>
      </c>
      <c r="N15" s="584" t="e">
        <f t="shared" si="4"/>
        <v>#N/A</v>
      </c>
      <c r="O15" s="270" t="e">
        <f t="shared" si="5"/>
        <v>#N/A</v>
      </c>
      <c r="P15" s="274" t="e">
        <f t="shared" si="6"/>
        <v>#N/A</v>
      </c>
      <c r="Q15" s="133" t="e">
        <f t="shared" si="7"/>
        <v>#N/A</v>
      </c>
      <c r="R15" s="352" t="e">
        <f t="shared" si="8"/>
        <v>#N/A</v>
      </c>
      <c r="S15" s="352" t="e">
        <f t="shared" si="9"/>
        <v>#N/A</v>
      </c>
      <c r="T15" s="184" t="e">
        <f t="shared" si="10"/>
        <v>#N/A</v>
      </c>
      <c r="U15" s="251" t="e">
        <f t="shared" si="16"/>
        <v>#N/A</v>
      </c>
      <c r="V15" s="157"/>
      <c r="W15" s="157"/>
    </row>
    <row r="16" spans="2:23" x14ac:dyDescent="0.25">
      <c r="B16" s="152">
        <f t="shared" si="17"/>
        <v>0.29166666666666663</v>
      </c>
      <c r="C16" s="177" t="str">
        <f t="shared" si="11"/>
        <v>YES</v>
      </c>
      <c r="D16" s="301" t="e">
        <f>Volumes!BZ15</f>
        <v>#N/A</v>
      </c>
      <c r="E16" s="178" t="e">
        <f t="shared" si="18"/>
        <v>#N/A</v>
      </c>
      <c r="F16" s="350" t="e">
        <f t="shared" si="0"/>
        <v>#N/A</v>
      </c>
      <c r="G16" s="350" t="e">
        <f t="shared" si="19"/>
        <v>#N/A</v>
      </c>
      <c r="H16" s="350" t="e">
        <f t="shared" si="1"/>
        <v>#N/A</v>
      </c>
      <c r="I16" s="196" t="e">
        <f t="shared" si="13"/>
        <v>#N/A</v>
      </c>
      <c r="J16" s="577" t="e">
        <f t="shared" si="2"/>
        <v>#N/A</v>
      </c>
      <c r="K16" s="250" t="e">
        <f t="shared" si="14"/>
        <v>#N/A</v>
      </c>
      <c r="L16" s="269" t="e">
        <f t="shared" si="15"/>
        <v>#N/A</v>
      </c>
      <c r="M16" s="584" t="e">
        <f t="shared" si="3"/>
        <v>#N/A</v>
      </c>
      <c r="N16" s="584" t="e">
        <f t="shared" si="4"/>
        <v>#N/A</v>
      </c>
      <c r="O16" s="270" t="e">
        <f t="shared" si="5"/>
        <v>#N/A</v>
      </c>
      <c r="P16" s="274" t="e">
        <f t="shared" si="6"/>
        <v>#N/A</v>
      </c>
      <c r="Q16" s="133" t="e">
        <f t="shared" si="7"/>
        <v>#N/A</v>
      </c>
      <c r="R16" s="352" t="e">
        <f t="shared" si="8"/>
        <v>#N/A</v>
      </c>
      <c r="S16" s="352" t="e">
        <f t="shared" si="9"/>
        <v>#N/A</v>
      </c>
      <c r="T16" s="184" t="e">
        <f t="shared" si="10"/>
        <v>#N/A</v>
      </c>
      <c r="U16" s="251" t="e">
        <f>SUM(Q16:T16)</f>
        <v>#N/A</v>
      </c>
      <c r="V16" s="157"/>
      <c r="W16" s="157"/>
    </row>
    <row r="17" spans="2:23" x14ac:dyDescent="0.25">
      <c r="B17" s="152">
        <f t="shared" si="17"/>
        <v>0.33333333333333331</v>
      </c>
      <c r="C17" s="177" t="str">
        <f t="shared" si="11"/>
        <v>YES</v>
      </c>
      <c r="D17" s="301" t="e">
        <f>Volumes!BZ16</f>
        <v>#N/A</v>
      </c>
      <c r="E17" s="178" t="e">
        <f t="shared" si="18"/>
        <v>#N/A</v>
      </c>
      <c r="F17" s="350" t="e">
        <f t="shared" si="0"/>
        <v>#N/A</v>
      </c>
      <c r="G17" s="350" t="e">
        <f t="shared" si="19"/>
        <v>#N/A</v>
      </c>
      <c r="H17" s="350" t="e">
        <f t="shared" si="1"/>
        <v>#N/A</v>
      </c>
      <c r="I17" s="196" t="e">
        <f t="shared" si="13"/>
        <v>#N/A</v>
      </c>
      <c r="J17" s="577" t="e">
        <f t="shared" si="2"/>
        <v>#N/A</v>
      </c>
      <c r="K17" s="250" t="e">
        <f t="shared" si="14"/>
        <v>#N/A</v>
      </c>
      <c r="L17" s="269" t="e">
        <f t="shared" si="15"/>
        <v>#N/A</v>
      </c>
      <c r="M17" s="584" t="e">
        <f t="shared" si="3"/>
        <v>#N/A</v>
      </c>
      <c r="N17" s="584" t="e">
        <f t="shared" si="4"/>
        <v>#N/A</v>
      </c>
      <c r="O17" s="270" t="e">
        <f t="shared" si="5"/>
        <v>#N/A</v>
      </c>
      <c r="P17" s="274" t="e">
        <f t="shared" si="6"/>
        <v>#N/A</v>
      </c>
      <c r="Q17" s="133" t="e">
        <f t="shared" si="7"/>
        <v>#N/A</v>
      </c>
      <c r="R17" s="352" t="e">
        <f t="shared" si="8"/>
        <v>#N/A</v>
      </c>
      <c r="S17" s="352" t="e">
        <f t="shared" si="9"/>
        <v>#N/A</v>
      </c>
      <c r="T17" s="184" t="e">
        <f t="shared" si="10"/>
        <v>#N/A</v>
      </c>
      <c r="U17" s="251" t="e">
        <f t="shared" si="16"/>
        <v>#N/A</v>
      </c>
      <c r="V17" s="157"/>
      <c r="W17" s="157"/>
    </row>
    <row r="18" spans="2:23" x14ac:dyDescent="0.25">
      <c r="B18" s="152">
        <f t="shared" si="17"/>
        <v>0.375</v>
      </c>
      <c r="C18" s="177" t="str">
        <f t="shared" si="11"/>
        <v>YES</v>
      </c>
      <c r="D18" s="301" t="e">
        <f>Volumes!BZ17</f>
        <v>#N/A</v>
      </c>
      <c r="E18" s="178" t="e">
        <f t="shared" si="18"/>
        <v>#N/A</v>
      </c>
      <c r="F18" s="350" t="e">
        <f t="shared" si="0"/>
        <v>#N/A</v>
      </c>
      <c r="G18" s="350" t="e">
        <f t="shared" si="19"/>
        <v>#N/A</v>
      </c>
      <c r="H18" s="350" t="e">
        <f t="shared" si="1"/>
        <v>#N/A</v>
      </c>
      <c r="I18" s="196" t="e">
        <f t="shared" si="13"/>
        <v>#N/A</v>
      </c>
      <c r="J18" s="577" t="e">
        <f t="shared" si="2"/>
        <v>#N/A</v>
      </c>
      <c r="K18" s="250" t="e">
        <f t="shared" si="14"/>
        <v>#N/A</v>
      </c>
      <c r="L18" s="269" t="e">
        <f t="shared" si="15"/>
        <v>#N/A</v>
      </c>
      <c r="M18" s="584" t="e">
        <f t="shared" si="3"/>
        <v>#N/A</v>
      </c>
      <c r="N18" s="584" t="e">
        <f t="shared" si="4"/>
        <v>#N/A</v>
      </c>
      <c r="O18" s="270" t="e">
        <f t="shared" si="5"/>
        <v>#N/A</v>
      </c>
      <c r="P18" s="274" t="e">
        <f t="shared" si="6"/>
        <v>#N/A</v>
      </c>
      <c r="Q18" s="133" t="e">
        <f t="shared" si="7"/>
        <v>#N/A</v>
      </c>
      <c r="R18" s="352" t="e">
        <f t="shared" si="8"/>
        <v>#N/A</v>
      </c>
      <c r="S18" s="352" t="e">
        <f t="shared" si="9"/>
        <v>#N/A</v>
      </c>
      <c r="T18" s="184" t="e">
        <f t="shared" si="10"/>
        <v>#N/A</v>
      </c>
      <c r="U18" s="251" t="e">
        <f t="shared" si="16"/>
        <v>#N/A</v>
      </c>
      <c r="V18" s="157"/>
      <c r="W18" s="157"/>
    </row>
    <row r="19" spans="2:23" x14ac:dyDescent="0.25">
      <c r="B19" s="152">
        <f t="shared" si="17"/>
        <v>0.41666666666666669</v>
      </c>
      <c r="C19" s="177" t="str">
        <f t="shared" si="11"/>
        <v>YES</v>
      </c>
      <c r="D19" s="301" t="e">
        <f>Volumes!BZ18</f>
        <v>#N/A</v>
      </c>
      <c r="E19" s="178" t="e">
        <f t="shared" si="18"/>
        <v>#N/A</v>
      </c>
      <c r="F19" s="350" t="e">
        <f t="shared" si="0"/>
        <v>#N/A</v>
      </c>
      <c r="G19" s="350" t="e">
        <f t="shared" si="19"/>
        <v>#N/A</v>
      </c>
      <c r="H19" s="350" t="e">
        <f t="shared" si="1"/>
        <v>#N/A</v>
      </c>
      <c r="I19" s="196" t="e">
        <f t="shared" si="13"/>
        <v>#N/A</v>
      </c>
      <c r="J19" s="577" t="e">
        <f t="shared" si="2"/>
        <v>#N/A</v>
      </c>
      <c r="K19" s="250" t="e">
        <f t="shared" si="14"/>
        <v>#N/A</v>
      </c>
      <c r="L19" s="269" t="e">
        <f t="shared" si="15"/>
        <v>#N/A</v>
      </c>
      <c r="M19" s="584" t="e">
        <f t="shared" si="3"/>
        <v>#N/A</v>
      </c>
      <c r="N19" s="584" t="e">
        <f t="shared" si="4"/>
        <v>#N/A</v>
      </c>
      <c r="O19" s="270" t="e">
        <f t="shared" si="5"/>
        <v>#N/A</v>
      </c>
      <c r="P19" s="274" t="e">
        <f t="shared" si="6"/>
        <v>#N/A</v>
      </c>
      <c r="Q19" s="133" t="e">
        <f t="shared" si="7"/>
        <v>#N/A</v>
      </c>
      <c r="R19" s="352" t="e">
        <f t="shared" si="8"/>
        <v>#N/A</v>
      </c>
      <c r="S19" s="352" t="e">
        <f t="shared" si="9"/>
        <v>#N/A</v>
      </c>
      <c r="T19" s="184" t="e">
        <f t="shared" si="10"/>
        <v>#N/A</v>
      </c>
      <c r="U19" s="251" t="e">
        <f t="shared" si="16"/>
        <v>#N/A</v>
      </c>
      <c r="V19" s="157"/>
      <c r="W19" s="157"/>
    </row>
    <row r="20" spans="2:23" x14ac:dyDescent="0.25">
      <c r="B20" s="152">
        <f t="shared" si="17"/>
        <v>0.45833333333333337</v>
      </c>
      <c r="C20" s="177" t="str">
        <f t="shared" si="11"/>
        <v>YES</v>
      </c>
      <c r="D20" s="301" t="e">
        <f>Volumes!BZ19</f>
        <v>#N/A</v>
      </c>
      <c r="E20" s="178" t="e">
        <f t="shared" si="18"/>
        <v>#N/A</v>
      </c>
      <c r="F20" s="350" t="e">
        <f t="shared" si="0"/>
        <v>#N/A</v>
      </c>
      <c r="G20" s="350" t="e">
        <f t="shared" si="19"/>
        <v>#N/A</v>
      </c>
      <c r="H20" s="350" t="e">
        <f t="shared" si="1"/>
        <v>#N/A</v>
      </c>
      <c r="I20" s="196" t="e">
        <f t="shared" si="13"/>
        <v>#N/A</v>
      </c>
      <c r="J20" s="577" t="e">
        <f t="shared" si="2"/>
        <v>#N/A</v>
      </c>
      <c r="K20" s="250" t="e">
        <f t="shared" si="14"/>
        <v>#N/A</v>
      </c>
      <c r="L20" s="269" t="e">
        <f t="shared" si="15"/>
        <v>#N/A</v>
      </c>
      <c r="M20" s="584" t="e">
        <f t="shared" si="3"/>
        <v>#N/A</v>
      </c>
      <c r="N20" s="584" t="e">
        <f t="shared" si="4"/>
        <v>#N/A</v>
      </c>
      <c r="O20" s="270" t="e">
        <f t="shared" si="5"/>
        <v>#N/A</v>
      </c>
      <c r="P20" s="274" t="e">
        <f t="shared" si="6"/>
        <v>#N/A</v>
      </c>
      <c r="Q20" s="133" t="e">
        <f t="shared" si="7"/>
        <v>#N/A</v>
      </c>
      <c r="R20" s="352" t="e">
        <f t="shared" si="8"/>
        <v>#N/A</v>
      </c>
      <c r="S20" s="352" t="e">
        <f t="shared" si="9"/>
        <v>#N/A</v>
      </c>
      <c r="T20" s="184" t="e">
        <f t="shared" si="10"/>
        <v>#N/A</v>
      </c>
      <c r="U20" s="251" t="e">
        <f t="shared" si="16"/>
        <v>#N/A</v>
      </c>
      <c r="V20" s="157"/>
      <c r="W20" s="157"/>
    </row>
    <row r="21" spans="2:23" x14ac:dyDescent="0.25">
      <c r="B21" s="152">
        <f t="shared" si="17"/>
        <v>0.5</v>
      </c>
      <c r="C21" s="177" t="str">
        <f t="shared" si="11"/>
        <v>YES</v>
      </c>
      <c r="D21" s="301" t="e">
        <f>Volumes!BZ20</f>
        <v>#N/A</v>
      </c>
      <c r="E21" s="178" t="e">
        <f t="shared" si="18"/>
        <v>#N/A</v>
      </c>
      <c r="F21" s="350" t="e">
        <f t="shared" si="0"/>
        <v>#N/A</v>
      </c>
      <c r="G21" s="350" t="e">
        <f t="shared" si="19"/>
        <v>#N/A</v>
      </c>
      <c r="H21" s="350" t="e">
        <f t="shared" si="1"/>
        <v>#N/A</v>
      </c>
      <c r="I21" s="196" t="e">
        <f t="shared" si="13"/>
        <v>#N/A</v>
      </c>
      <c r="J21" s="577" t="e">
        <f t="shared" si="2"/>
        <v>#N/A</v>
      </c>
      <c r="K21" s="250" t="e">
        <f t="shared" si="14"/>
        <v>#N/A</v>
      </c>
      <c r="L21" s="269" t="e">
        <f t="shared" si="15"/>
        <v>#N/A</v>
      </c>
      <c r="M21" s="584" t="e">
        <f t="shared" si="3"/>
        <v>#N/A</v>
      </c>
      <c r="N21" s="584" t="e">
        <f t="shared" si="4"/>
        <v>#N/A</v>
      </c>
      <c r="O21" s="270" t="e">
        <f t="shared" si="5"/>
        <v>#N/A</v>
      </c>
      <c r="P21" s="274" t="e">
        <f t="shared" si="6"/>
        <v>#N/A</v>
      </c>
      <c r="Q21" s="133" t="e">
        <f t="shared" si="7"/>
        <v>#N/A</v>
      </c>
      <c r="R21" s="352" t="e">
        <f t="shared" si="8"/>
        <v>#N/A</v>
      </c>
      <c r="S21" s="352" t="e">
        <f t="shared" si="9"/>
        <v>#N/A</v>
      </c>
      <c r="T21" s="184" t="e">
        <f t="shared" si="10"/>
        <v>#N/A</v>
      </c>
      <c r="U21" s="251" t="e">
        <f t="shared" si="16"/>
        <v>#N/A</v>
      </c>
      <c r="V21" s="157"/>
      <c r="W21" s="157"/>
    </row>
    <row r="22" spans="2:23" x14ac:dyDescent="0.25">
      <c r="B22" s="152">
        <f t="shared" si="17"/>
        <v>0.54166666666666663</v>
      </c>
      <c r="C22" s="177" t="str">
        <f t="shared" si="11"/>
        <v>YES</v>
      </c>
      <c r="D22" s="301" t="e">
        <f>Volumes!BZ21</f>
        <v>#N/A</v>
      </c>
      <c r="E22" s="178" t="e">
        <f t="shared" si="18"/>
        <v>#N/A</v>
      </c>
      <c r="F22" s="350" t="e">
        <f t="shared" si="0"/>
        <v>#N/A</v>
      </c>
      <c r="G22" s="350" t="e">
        <f t="shared" si="19"/>
        <v>#N/A</v>
      </c>
      <c r="H22" s="350" t="e">
        <f t="shared" si="1"/>
        <v>#N/A</v>
      </c>
      <c r="I22" s="196" t="e">
        <f t="shared" si="13"/>
        <v>#N/A</v>
      </c>
      <c r="J22" s="577" t="e">
        <f t="shared" si="2"/>
        <v>#N/A</v>
      </c>
      <c r="K22" s="250" t="e">
        <f t="shared" si="14"/>
        <v>#N/A</v>
      </c>
      <c r="L22" s="269" t="e">
        <f t="shared" si="15"/>
        <v>#N/A</v>
      </c>
      <c r="M22" s="584" t="e">
        <f t="shared" si="3"/>
        <v>#N/A</v>
      </c>
      <c r="N22" s="584" t="e">
        <f t="shared" si="4"/>
        <v>#N/A</v>
      </c>
      <c r="O22" s="270" t="e">
        <f t="shared" si="5"/>
        <v>#N/A</v>
      </c>
      <c r="P22" s="274" t="e">
        <f t="shared" si="6"/>
        <v>#N/A</v>
      </c>
      <c r="Q22" s="133" t="e">
        <f t="shared" si="7"/>
        <v>#N/A</v>
      </c>
      <c r="R22" s="352" t="e">
        <f t="shared" si="8"/>
        <v>#N/A</v>
      </c>
      <c r="S22" s="352" t="e">
        <f t="shared" si="9"/>
        <v>#N/A</v>
      </c>
      <c r="T22" s="184" t="e">
        <f t="shared" si="10"/>
        <v>#N/A</v>
      </c>
      <c r="U22" s="251" t="e">
        <f t="shared" si="16"/>
        <v>#N/A</v>
      </c>
      <c r="V22" s="157"/>
      <c r="W22" s="157"/>
    </row>
    <row r="23" spans="2:23" x14ac:dyDescent="0.25">
      <c r="B23" s="152">
        <f t="shared" si="17"/>
        <v>0.58333333333333326</v>
      </c>
      <c r="C23" s="177" t="str">
        <f t="shared" si="11"/>
        <v>YES</v>
      </c>
      <c r="D23" s="301" t="e">
        <f>Volumes!BZ22</f>
        <v>#N/A</v>
      </c>
      <c r="E23" s="178" t="e">
        <f t="shared" si="18"/>
        <v>#N/A</v>
      </c>
      <c r="F23" s="350" t="e">
        <f t="shared" si="0"/>
        <v>#N/A</v>
      </c>
      <c r="G23" s="350" t="e">
        <f t="shared" si="19"/>
        <v>#N/A</v>
      </c>
      <c r="H23" s="350" t="e">
        <f t="shared" si="1"/>
        <v>#N/A</v>
      </c>
      <c r="I23" s="196" t="e">
        <f t="shared" si="13"/>
        <v>#N/A</v>
      </c>
      <c r="J23" s="577" t="e">
        <f t="shared" si="2"/>
        <v>#N/A</v>
      </c>
      <c r="K23" s="250" t="e">
        <f t="shared" si="14"/>
        <v>#N/A</v>
      </c>
      <c r="L23" s="269" t="e">
        <f t="shared" si="15"/>
        <v>#N/A</v>
      </c>
      <c r="M23" s="584" t="e">
        <f t="shared" si="3"/>
        <v>#N/A</v>
      </c>
      <c r="N23" s="584" t="e">
        <f t="shared" si="4"/>
        <v>#N/A</v>
      </c>
      <c r="O23" s="270" t="e">
        <f t="shared" si="5"/>
        <v>#N/A</v>
      </c>
      <c r="P23" s="274" t="e">
        <f t="shared" si="6"/>
        <v>#N/A</v>
      </c>
      <c r="Q23" s="133" t="e">
        <f t="shared" si="7"/>
        <v>#N/A</v>
      </c>
      <c r="R23" s="352" t="e">
        <f t="shared" si="8"/>
        <v>#N/A</v>
      </c>
      <c r="S23" s="352" t="e">
        <f t="shared" si="9"/>
        <v>#N/A</v>
      </c>
      <c r="T23" s="184" t="e">
        <f t="shared" si="10"/>
        <v>#N/A</v>
      </c>
      <c r="U23" s="251" t="e">
        <f t="shared" si="16"/>
        <v>#N/A</v>
      </c>
      <c r="V23" s="157"/>
      <c r="W23" s="157"/>
    </row>
    <row r="24" spans="2:23" x14ac:dyDescent="0.25">
      <c r="B24" s="152">
        <f t="shared" si="17"/>
        <v>0.62499999999999989</v>
      </c>
      <c r="C24" s="177" t="str">
        <f t="shared" si="11"/>
        <v>YES</v>
      </c>
      <c r="D24" s="301" t="e">
        <f>Volumes!BZ23</f>
        <v>#N/A</v>
      </c>
      <c r="E24" s="178" t="e">
        <f t="shared" si="18"/>
        <v>#N/A</v>
      </c>
      <c r="F24" s="350" t="e">
        <f t="shared" si="0"/>
        <v>#N/A</v>
      </c>
      <c r="G24" s="350" t="e">
        <f t="shared" si="19"/>
        <v>#N/A</v>
      </c>
      <c r="H24" s="350" t="e">
        <f t="shared" si="1"/>
        <v>#N/A</v>
      </c>
      <c r="I24" s="196" t="e">
        <f t="shared" si="13"/>
        <v>#N/A</v>
      </c>
      <c r="J24" s="577" t="e">
        <f t="shared" si="2"/>
        <v>#N/A</v>
      </c>
      <c r="K24" s="250" t="e">
        <f t="shared" si="14"/>
        <v>#N/A</v>
      </c>
      <c r="L24" s="269" t="e">
        <f t="shared" si="15"/>
        <v>#N/A</v>
      </c>
      <c r="M24" s="584" t="e">
        <f t="shared" si="3"/>
        <v>#N/A</v>
      </c>
      <c r="N24" s="584" t="e">
        <f t="shared" si="4"/>
        <v>#N/A</v>
      </c>
      <c r="O24" s="270" t="e">
        <f t="shared" si="5"/>
        <v>#N/A</v>
      </c>
      <c r="P24" s="274" t="e">
        <f t="shared" si="6"/>
        <v>#N/A</v>
      </c>
      <c r="Q24" s="133" t="e">
        <f t="shared" si="7"/>
        <v>#N/A</v>
      </c>
      <c r="R24" s="352" t="e">
        <f t="shared" si="8"/>
        <v>#N/A</v>
      </c>
      <c r="S24" s="352" t="e">
        <f t="shared" si="9"/>
        <v>#N/A</v>
      </c>
      <c r="T24" s="184" t="e">
        <f t="shared" si="10"/>
        <v>#N/A</v>
      </c>
      <c r="U24" s="251" t="e">
        <f t="shared" si="16"/>
        <v>#N/A</v>
      </c>
      <c r="V24" s="194"/>
      <c r="W24" s="157"/>
    </row>
    <row r="25" spans="2:23" x14ac:dyDescent="0.25">
      <c r="B25" s="152">
        <f t="shared" si="17"/>
        <v>0.66666666666666652</v>
      </c>
      <c r="C25" s="177" t="str">
        <f t="shared" si="11"/>
        <v>YES</v>
      </c>
      <c r="D25" s="301" t="e">
        <f>Volumes!BZ24</f>
        <v>#N/A</v>
      </c>
      <c r="E25" s="178" t="e">
        <f t="shared" si="18"/>
        <v>#N/A</v>
      </c>
      <c r="F25" s="350" t="e">
        <f t="shared" si="0"/>
        <v>#N/A</v>
      </c>
      <c r="G25" s="350" t="e">
        <f t="shared" si="19"/>
        <v>#N/A</v>
      </c>
      <c r="H25" s="350" t="e">
        <f t="shared" si="1"/>
        <v>#N/A</v>
      </c>
      <c r="I25" s="196" t="e">
        <f t="shared" si="13"/>
        <v>#N/A</v>
      </c>
      <c r="J25" s="577" t="e">
        <f t="shared" si="2"/>
        <v>#N/A</v>
      </c>
      <c r="K25" s="250" t="e">
        <f t="shared" si="14"/>
        <v>#N/A</v>
      </c>
      <c r="L25" s="269" t="e">
        <f t="shared" si="15"/>
        <v>#N/A</v>
      </c>
      <c r="M25" s="584" t="e">
        <f t="shared" si="3"/>
        <v>#N/A</v>
      </c>
      <c r="N25" s="584" t="e">
        <f t="shared" si="4"/>
        <v>#N/A</v>
      </c>
      <c r="O25" s="270" t="e">
        <f t="shared" si="5"/>
        <v>#N/A</v>
      </c>
      <c r="P25" s="274" t="e">
        <f t="shared" si="6"/>
        <v>#N/A</v>
      </c>
      <c r="Q25" s="133" t="e">
        <f t="shared" si="7"/>
        <v>#N/A</v>
      </c>
      <c r="R25" s="352" t="e">
        <f t="shared" si="8"/>
        <v>#N/A</v>
      </c>
      <c r="S25" s="352" t="e">
        <f t="shared" si="9"/>
        <v>#N/A</v>
      </c>
      <c r="T25" s="184" t="e">
        <f t="shared" si="10"/>
        <v>#N/A</v>
      </c>
      <c r="U25" s="251" t="e">
        <f t="shared" si="16"/>
        <v>#N/A</v>
      </c>
      <c r="V25" s="157"/>
      <c r="W25" s="157"/>
    </row>
    <row r="26" spans="2:23" x14ac:dyDescent="0.25">
      <c r="B26" s="152">
        <f t="shared" si="17"/>
        <v>0.70833333333333315</v>
      </c>
      <c r="C26" s="177" t="str">
        <f t="shared" si="11"/>
        <v>YES</v>
      </c>
      <c r="D26" s="301" t="e">
        <f>Volumes!BZ25</f>
        <v>#N/A</v>
      </c>
      <c r="E26" s="178" t="e">
        <f t="shared" si="18"/>
        <v>#N/A</v>
      </c>
      <c r="F26" s="350" t="e">
        <f t="shared" si="0"/>
        <v>#N/A</v>
      </c>
      <c r="G26" s="350" t="e">
        <f t="shared" si="19"/>
        <v>#N/A</v>
      </c>
      <c r="H26" s="350" t="e">
        <f t="shared" si="1"/>
        <v>#N/A</v>
      </c>
      <c r="I26" s="196" t="e">
        <f t="shared" si="13"/>
        <v>#N/A</v>
      </c>
      <c r="J26" s="577" t="e">
        <f t="shared" si="2"/>
        <v>#N/A</v>
      </c>
      <c r="K26" s="250" t="e">
        <f t="shared" si="14"/>
        <v>#N/A</v>
      </c>
      <c r="L26" s="269" t="e">
        <f t="shared" si="15"/>
        <v>#N/A</v>
      </c>
      <c r="M26" s="584" t="e">
        <f t="shared" si="3"/>
        <v>#N/A</v>
      </c>
      <c r="N26" s="584" t="e">
        <f t="shared" si="4"/>
        <v>#N/A</v>
      </c>
      <c r="O26" s="270" t="e">
        <f t="shared" si="5"/>
        <v>#N/A</v>
      </c>
      <c r="P26" s="274" t="e">
        <f t="shared" si="6"/>
        <v>#N/A</v>
      </c>
      <c r="Q26" s="133" t="e">
        <f t="shared" si="7"/>
        <v>#N/A</v>
      </c>
      <c r="R26" s="352" t="e">
        <f t="shared" si="8"/>
        <v>#N/A</v>
      </c>
      <c r="S26" s="352" t="e">
        <f t="shared" si="9"/>
        <v>#N/A</v>
      </c>
      <c r="T26" s="184" t="e">
        <f t="shared" si="10"/>
        <v>#N/A</v>
      </c>
      <c r="U26" s="251" t="e">
        <f t="shared" si="16"/>
        <v>#N/A</v>
      </c>
      <c r="V26" s="5"/>
      <c r="W26" s="157"/>
    </row>
    <row r="27" spans="2:23" x14ac:dyDescent="0.25">
      <c r="B27" s="152">
        <f t="shared" si="17"/>
        <v>0.74999999999999978</v>
      </c>
      <c r="C27" s="177" t="str">
        <f t="shared" si="11"/>
        <v>YES</v>
      </c>
      <c r="D27" s="301" t="e">
        <f>Volumes!BZ26</f>
        <v>#N/A</v>
      </c>
      <c r="E27" s="178" t="e">
        <f t="shared" si="18"/>
        <v>#N/A</v>
      </c>
      <c r="F27" s="350" t="e">
        <f t="shared" si="0"/>
        <v>#N/A</v>
      </c>
      <c r="G27" s="350" t="e">
        <f t="shared" si="19"/>
        <v>#N/A</v>
      </c>
      <c r="H27" s="350" t="e">
        <f t="shared" si="1"/>
        <v>#N/A</v>
      </c>
      <c r="I27" s="196" t="e">
        <f t="shared" si="13"/>
        <v>#N/A</v>
      </c>
      <c r="J27" s="577" t="e">
        <f t="shared" si="2"/>
        <v>#N/A</v>
      </c>
      <c r="K27" s="250" t="e">
        <f t="shared" si="14"/>
        <v>#N/A</v>
      </c>
      <c r="L27" s="269" t="e">
        <f t="shared" si="15"/>
        <v>#N/A</v>
      </c>
      <c r="M27" s="584" t="e">
        <f t="shared" si="3"/>
        <v>#N/A</v>
      </c>
      <c r="N27" s="584" t="e">
        <f t="shared" si="4"/>
        <v>#N/A</v>
      </c>
      <c r="O27" s="270" t="e">
        <f t="shared" si="5"/>
        <v>#N/A</v>
      </c>
      <c r="P27" s="274" t="e">
        <f t="shared" si="6"/>
        <v>#N/A</v>
      </c>
      <c r="Q27" s="133" t="e">
        <f t="shared" si="7"/>
        <v>#N/A</v>
      </c>
      <c r="R27" s="352" t="e">
        <f t="shared" si="8"/>
        <v>#N/A</v>
      </c>
      <c r="S27" s="352" t="e">
        <f t="shared" si="9"/>
        <v>#N/A</v>
      </c>
      <c r="T27" s="184" t="e">
        <f t="shared" si="10"/>
        <v>#N/A</v>
      </c>
      <c r="U27" s="251" t="e">
        <f t="shared" si="16"/>
        <v>#N/A</v>
      </c>
      <c r="V27" s="157"/>
      <c r="W27" s="157"/>
    </row>
    <row r="28" spans="2:23" x14ac:dyDescent="0.25">
      <c r="B28" s="152">
        <f t="shared" si="17"/>
        <v>0.79166666666666641</v>
      </c>
      <c r="C28" s="177" t="str">
        <f t="shared" si="11"/>
        <v>YES</v>
      </c>
      <c r="D28" s="301" t="e">
        <f>Volumes!BZ27</f>
        <v>#N/A</v>
      </c>
      <c r="E28" s="178" t="e">
        <f t="shared" si="18"/>
        <v>#N/A</v>
      </c>
      <c r="F28" s="350" t="e">
        <f t="shared" si="0"/>
        <v>#N/A</v>
      </c>
      <c r="G28" s="350" t="e">
        <f t="shared" si="19"/>
        <v>#N/A</v>
      </c>
      <c r="H28" s="350" t="e">
        <f t="shared" si="1"/>
        <v>#N/A</v>
      </c>
      <c r="I28" s="196" t="e">
        <f t="shared" si="13"/>
        <v>#N/A</v>
      </c>
      <c r="J28" s="577" t="e">
        <f t="shared" si="2"/>
        <v>#N/A</v>
      </c>
      <c r="K28" s="250" t="e">
        <f t="shared" si="14"/>
        <v>#N/A</v>
      </c>
      <c r="L28" s="269" t="e">
        <f t="shared" si="15"/>
        <v>#N/A</v>
      </c>
      <c r="M28" s="584" t="e">
        <f t="shared" si="3"/>
        <v>#N/A</v>
      </c>
      <c r="N28" s="584" t="e">
        <f t="shared" si="4"/>
        <v>#N/A</v>
      </c>
      <c r="O28" s="270" t="e">
        <f t="shared" si="5"/>
        <v>#N/A</v>
      </c>
      <c r="P28" s="274" t="e">
        <f t="shared" si="6"/>
        <v>#N/A</v>
      </c>
      <c r="Q28" s="133" t="e">
        <f t="shared" si="7"/>
        <v>#N/A</v>
      </c>
      <c r="R28" s="352" t="e">
        <f t="shared" si="8"/>
        <v>#N/A</v>
      </c>
      <c r="S28" s="352" t="e">
        <f t="shared" si="9"/>
        <v>#N/A</v>
      </c>
      <c r="T28" s="184" t="e">
        <f t="shared" si="10"/>
        <v>#N/A</v>
      </c>
      <c r="U28" s="251" t="e">
        <f t="shared" si="16"/>
        <v>#N/A</v>
      </c>
      <c r="V28" s="157"/>
      <c r="W28" s="157"/>
    </row>
    <row r="29" spans="2:23" x14ac:dyDescent="0.25">
      <c r="B29" s="152">
        <f t="shared" si="17"/>
        <v>0.83333333333333304</v>
      </c>
      <c r="C29" s="177" t="str">
        <f t="shared" si="11"/>
        <v>YES</v>
      </c>
      <c r="D29" s="301" t="e">
        <f>Volumes!BZ28</f>
        <v>#N/A</v>
      </c>
      <c r="E29" s="178" t="e">
        <f t="shared" si="18"/>
        <v>#N/A</v>
      </c>
      <c r="F29" s="350" t="e">
        <f t="shared" si="0"/>
        <v>#N/A</v>
      </c>
      <c r="G29" s="350" t="e">
        <f t="shared" si="19"/>
        <v>#N/A</v>
      </c>
      <c r="H29" s="350" t="e">
        <f t="shared" si="1"/>
        <v>#N/A</v>
      </c>
      <c r="I29" s="196" t="e">
        <f t="shared" si="13"/>
        <v>#N/A</v>
      </c>
      <c r="J29" s="577" t="e">
        <f t="shared" si="2"/>
        <v>#N/A</v>
      </c>
      <c r="K29" s="250" t="e">
        <f t="shared" si="14"/>
        <v>#N/A</v>
      </c>
      <c r="L29" s="269" t="e">
        <f t="shared" si="15"/>
        <v>#N/A</v>
      </c>
      <c r="M29" s="584" t="e">
        <f t="shared" si="3"/>
        <v>#N/A</v>
      </c>
      <c r="N29" s="584" t="e">
        <f t="shared" si="4"/>
        <v>#N/A</v>
      </c>
      <c r="O29" s="270" t="e">
        <f t="shared" si="5"/>
        <v>#N/A</v>
      </c>
      <c r="P29" s="274" t="e">
        <f t="shared" si="6"/>
        <v>#N/A</v>
      </c>
      <c r="Q29" s="133" t="e">
        <f t="shared" si="7"/>
        <v>#N/A</v>
      </c>
      <c r="R29" s="352" t="e">
        <f t="shared" si="8"/>
        <v>#N/A</v>
      </c>
      <c r="S29" s="352" t="e">
        <f t="shared" si="9"/>
        <v>#N/A</v>
      </c>
      <c r="T29" s="184" t="e">
        <f t="shared" si="10"/>
        <v>#N/A</v>
      </c>
      <c r="U29" s="251" t="e">
        <f t="shared" si="16"/>
        <v>#N/A</v>
      </c>
      <c r="V29" s="157"/>
      <c r="W29" s="157"/>
    </row>
    <row r="30" spans="2:23" x14ac:dyDescent="0.25">
      <c r="B30" s="152">
        <f t="shared" si="17"/>
        <v>0.87499999999999967</v>
      </c>
      <c r="C30" s="177" t="str">
        <f t="shared" si="11"/>
        <v>YES</v>
      </c>
      <c r="D30" s="301" t="e">
        <f>Volumes!BZ29</f>
        <v>#N/A</v>
      </c>
      <c r="E30" s="178" t="e">
        <f t="shared" si="18"/>
        <v>#N/A</v>
      </c>
      <c r="F30" s="350" t="e">
        <f t="shared" si="0"/>
        <v>#N/A</v>
      </c>
      <c r="G30" s="350" t="e">
        <f t="shared" si="19"/>
        <v>#N/A</v>
      </c>
      <c r="H30" s="350" t="e">
        <f t="shared" si="1"/>
        <v>#N/A</v>
      </c>
      <c r="I30" s="196" t="e">
        <f t="shared" si="13"/>
        <v>#N/A</v>
      </c>
      <c r="J30" s="577" t="e">
        <f t="shared" si="2"/>
        <v>#N/A</v>
      </c>
      <c r="K30" s="250" t="e">
        <f t="shared" si="14"/>
        <v>#N/A</v>
      </c>
      <c r="L30" s="269" t="e">
        <f t="shared" si="15"/>
        <v>#N/A</v>
      </c>
      <c r="M30" s="584" t="e">
        <f t="shared" si="3"/>
        <v>#N/A</v>
      </c>
      <c r="N30" s="584" t="e">
        <f t="shared" si="4"/>
        <v>#N/A</v>
      </c>
      <c r="O30" s="270" t="e">
        <f t="shared" si="5"/>
        <v>#N/A</v>
      </c>
      <c r="P30" s="274" t="e">
        <f t="shared" si="6"/>
        <v>#N/A</v>
      </c>
      <c r="Q30" s="133" t="e">
        <f t="shared" si="7"/>
        <v>#N/A</v>
      </c>
      <c r="R30" s="352" t="e">
        <f t="shared" si="8"/>
        <v>#N/A</v>
      </c>
      <c r="S30" s="352" t="e">
        <f t="shared" si="9"/>
        <v>#N/A</v>
      </c>
      <c r="T30" s="184" t="e">
        <f t="shared" si="10"/>
        <v>#N/A</v>
      </c>
      <c r="U30" s="251" t="e">
        <f t="shared" si="16"/>
        <v>#N/A</v>
      </c>
      <c r="V30" s="157"/>
      <c r="W30" s="157"/>
    </row>
    <row r="31" spans="2:23" x14ac:dyDescent="0.25">
      <c r="B31" s="152">
        <f t="shared" si="17"/>
        <v>0.9166666666666663</v>
      </c>
      <c r="C31" s="177" t="str">
        <f t="shared" si="11"/>
        <v>YES</v>
      </c>
      <c r="D31" s="301" t="e">
        <f>Volumes!BZ30</f>
        <v>#N/A</v>
      </c>
      <c r="E31" s="178" t="e">
        <f t="shared" si="18"/>
        <v>#N/A</v>
      </c>
      <c r="F31" s="350" t="e">
        <f t="shared" si="0"/>
        <v>#N/A</v>
      </c>
      <c r="G31" s="350" t="e">
        <f t="shared" si="19"/>
        <v>#N/A</v>
      </c>
      <c r="H31" s="350" t="e">
        <f t="shared" si="1"/>
        <v>#N/A</v>
      </c>
      <c r="I31" s="196" t="e">
        <f t="shared" si="13"/>
        <v>#N/A</v>
      </c>
      <c r="J31" s="577" t="e">
        <f t="shared" si="2"/>
        <v>#N/A</v>
      </c>
      <c r="K31" s="250" t="e">
        <f t="shared" si="14"/>
        <v>#N/A</v>
      </c>
      <c r="L31" s="269" t="e">
        <f t="shared" si="15"/>
        <v>#N/A</v>
      </c>
      <c r="M31" s="584" t="e">
        <f t="shared" si="3"/>
        <v>#N/A</v>
      </c>
      <c r="N31" s="584" t="e">
        <f t="shared" si="4"/>
        <v>#N/A</v>
      </c>
      <c r="O31" s="270" t="e">
        <f t="shared" si="5"/>
        <v>#N/A</v>
      </c>
      <c r="P31" s="274" t="e">
        <f t="shared" si="6"/>
        <v>#N/A</v>
      </c>
      <c r="Q31" s="133" t="e">
        <f t="shared" si="7"/>
        <v>#N/A</v>
      </c>
      <c r="R31" s="352" t="e">
        <f t="shared" si="8"/>
        <v>#N/A</v>
      </c>
      <c r="S31" s="352" t="e">
        <f t="shared" si="9"/>
        <v>#N/A</v>
      </c>
      <c r="T31" s="184" t="e">
        <f t="shared" si="10"/>
        <v>#N/A</v>
      </c>
      <c r="U31" s="251" t="e">
        <f t="shared" si="16"/>
        <v>#N/A</v>
      </c>
      <c r="V31" s="157"/>
      <c r="W31" s="157"/>
    </row>
    <row r="32" spans="2:23" x14ac:dyDescent="0.25">
      <c r="B32" s="152">
        <f t="shared" si="17"/>
        <v>0.95833333333333293</v>
      </c>
      <c r="C32" s="177" t="str">
        <f t="shared" si="11"/>
        <v>YES</v>
      </c>
      <c r="D32" s="301" t="e">
        <f>Volumes!BZ31</f>
        <v>#N/A</v>
      </c>
      <c r="E32" s="178" t="e">
        <f t="shared" si="18"/>
        <v>#N/A</v>
      </c>
      <c r="F32" s="350" t="e">
        <f t="shared" si="0"/>
        <v>#N/A</v>
      </c>
      <c r="G32" s="350" t="e">
        <f t="shared" si="19"/>
        <v>#N/A</v>
      </c>
      <c r="H32" s="350" t="e">
        <f t="shared" si="1"/>
        <v>#N/A</v>
      </c>
      <c r="I32" s="196" t="e">
        <f t="shared" si="13"/>
        <v>#N/A</v>
      </c>
      <c r="J32" s="577" t="e">
        <f t="shared" si="2"/>
        <v>#N/A</v>
      </c>
      <c r="K32" s="250" t="e">
        <f t="shared" si="14"/>
        <v>#N/A</v>
      </c>
      <c r="L32" s="269" t="e">
        <f t="shared" si="15"/>
        <v>#N/A</v>
      </c>
      <c r="M32" s="584" t="e">
        <f t="shared" si="3"/>
        <v>#N/A</v>
      </c>
      <c r="N32" s="584" t="e">
        <f t="shared" si="4"/>
        <v>#N/A</v>
      </c>
      <c r="O32" s="270" t="e">
        <f t="shared" si="5"/>
        <v>#N/A</v>
      </c>
      <c r="P32" s="274" t="e">
        <f t="shared" si="6"/>
        <v>#N/A</v>
      </c>
      <c r="Q32" s="387" t="e">
        <f t="shared" si="7"/>
        <v>#N/A</v>
      </c>
      <c r="R32" s="388" t="e">
        <f t="shared" si="8"/>
        <v>#N/A</v>
      </c>
      <c r="S32" s="388" t="e">
        <f t="shared" si="9"/>
        <v>#N/A</v>
      </c>
      <c r="T32" s="184" t="e">
        <f t="shared" si="10"/>
        <v>#N/A</v>
      </c>
      <c r="U32" s="251" t="e">
        <f t="shared" si="16"/>
        <v>#N/A</v>
      </c>
      <c r="V32" s="157"/>
      <c r="W32" s="157"/>
    </row>
    <row r="33" spans="2:23" s="35" customFormat="1" x14ac:dyDescent="0.25">
      <c r="B33" s="557"/>
      <c r="C33" s="59"/>
      <c r="D33" s="556"/>
      <c r="E33" s="556"/>
      <c r="F33" s="556"/>
      <c r="G33" s="556"/>
      <c r="H33" s="556"/>
      <c r="I33" s="556"/>
      <c r="J33" s="575"/>
      <c r="K33" s="558"/>
      <c r="L33" s="559"/>
      <c r="M33" s="554"/>
      <c r="N33" s="555"/>
      <c r="O33" s="555"/>
      <c r="P33" s="555"/>
      <c r="Q33" s="555"/>
      <c r="R33" s="182"/>
      <c r="S33" s="389" t="s">
        <v>1189</v>
      </c>
      <c r="T33" s="243" t="e">
        <f>IF(SUM(I9:I32)&gt;0,"Yes","No")</f>
        <v>#N/A</v>
      </c>
      <c r="U33" s="390"/>
      <c r="V33" s="553"/>
      <c r="W33" s="553"/>
    </row>
    <row r="34" spans="2:23" s="35" customFormat="1" x14ac:dyDescent="0.25">
      <c r="B34" s="1170" t="s">
        <v>1203</v>
      </c>
      <c r="C34" s="1170"/>
      <c r="D34" s="1170"/>
      <c r="E34" s="1170"/>
      <c r="F34" s="1170"/>
      <c r="G34" s="1170"/>
      <c r="H34" s="1170"/>
      <c r="I34" s="1170"/>
      <c r="J34" s="1170"/>
      <c r="K34" s="1170"/>
      <c r="L34" s="1171"/>
      <c r="M34" s="376"/>
      <c r="N34" s="377"/>
      <c r="O34" s="377"/>
      <c r="P34" s="377"/>
      <c r="Q34" s="377"/>
      <c r="R34" s="182"/>
      <c r="S34" s="389" t="s">
        <v>888</v>
      </c>
      <c r="T34" s="243" t="e">
        <f>SUMIF(C9:C32,"YES",(L9:L32))+SUMIF(C9:C32,"YES",(O9:O32))+SUMIF(C9:C32,"YES",(N9:N32))+SUMIF(C9:C32,"YES",(M9:M32))</f>
        <v>#N/A</v>
      </c>
      <c r="U34" s="390" t="s">
        <v>884</v>
      </c>
      <c r="V34" s="375"/>
      <c r="W34" s="375"/>
    </row>
    <row r="35" spans="2:23" s="35" customFormat="1" x14ac:dyDescent="0.25">
      <c r="B35" s="1170"/>
      <c r="C35" s="1170"/>
      <c r="D35" s="1170"/>
      <c r="E35" s="1170"/>
      <c r="F35" s="1170"/>
      <c r="G35" s="1170"/>
      <c r="H35" s="1170"/>
      <c r="I35" s="1170"/>
      <c r="J35" s="1170"/>
      <c r="K35" s="1170"/>
      <c r="L35" s="1171"/>
      <c r="M35" s="376"/>
      <c r="N35" s="377"/>
      <c r="O35" s="377"/>
      <c r="P35" s="377"/>
      <c r="Q35" s="377"/>
      <c r="R35" s="182"/>
      <c r="S35" s="389" t="s">
        <v>889</v>
      </c>
      <c r="T35" s="243" t="e">
        <f>SUMIF(C9:C32,"YES",U9:U32)</f>
        <v>#N/A</v>
      </c>
      <c r="U35" s="390" t="s">
        <v>539</v>
      </c>
      <c r="V35" s="375"/>
      <c r="W35" s="375"/>
    </row>
    <row r="36" spans="2:23" s="35" customFormat="1" x14ac:dyDescent="0.25">
      <c r="B36" s="244"/>
      <c r="C36" s="244"/>
      <c r="D36" s="375"/>
      <c r="E36" s="375"/>
      <c r="F36" s="375"/>
      <c r="G36" s="375"/>
      <c r="H36" s="375"/>
      <c r="I36" s="375"/>
      <c r="J36" s="574"/>
      <c r="K36" s="375"/>
      <c r="L36" s="375"/>
      <c r="M36" s="376"/>
      <c r="N36" s="377"/>
      <c r="O36" s="377"/>
      <c r="P36" s="377"/>
      <c r="Q36" s="377"/>
      <c r="R36" s="182"/>
      <c r="S36" s="389" t="s">
        <v>890</v>
      </c>
      <c r="T36" s="243" t="e">
        <f>IF(T34&lt;1,0,ROUND(T35/T34,1))</f>
        <v>#N/A</v>
      </c>
      <c r="U36" s="390" t="s">
        <v>648</v>
      </c>
      <c r="V36" s="375"/>
      <c r="W36" s="375"/>
    </row>
    <row r="37" spans="2:23" s="35" customFormat="1" x14ac:dyDescent="0.25">
      <c r="B37" s="244"/>
      <c r="C37" s="244"/>
      <c r="D37" s="375"/>
      <c r="E37" s="375"/>
      <c r="F37" s="375"/>
      <c r="G37" s="375"/>
      <c r="H37" s="375"/>
      <c r="I37" s="375"/>
      <c r="J37" s="574"/>
      <c r="K37" s="375"/>
      <c r="L37" s="375"/>
      <c r="M37" s="375"/>
      <c r="N37" s="375"/>
      <c r="O37" s="375"/>
      <c r="P37" s="375"/>
      <c r="Q37" s="375"/>
      <c r="R37" s="375"/>
      <c r="S37" s="375"/>
      <c r="T37" s="375"/>
      <c r="U37" s="262"/>
      <c r="V37" s="375"/>
      <c r="W37" s="375"/>
    </row>
    <row r="38" spans="2:23" s="35" customFormat="1" x14ac:dyDescent="0.25">
      <c r="B38" s="244"/>
      <c r="C38" s="244"/>
      <c r="D38" s="375"/>
      <c r="E38" s="375"/>
      <c r="F38" s="375"/>
      <c r="G38" s="375"/>
      <c r="H38" s="375"/>
      <c r="I38" s="375"/>
      <c r="J38" s="574"/>
      <c r="K38" s="375"/>
      <c r="L38" s="375"/>
      <c r="M38" s="375"/>
      <c r="N38" s="375"/>
      <c r="O38" s="375"/>
      <c r="P38" s="375"/>
      <c r="Q38" s="375"/>
      <c r="R38" s="375"/>
      <c r="S38" s="375"/>
      <c r="T38" s="375"/>
      <c r="U38" s="262"/>
      <c r="V38" s="375"/>
      <c r="W38" s="375"/>
    </row>
    <row r="39" spans="2:23" s="35" customFormat="1" x14ac:dyDescent="0.25">
      <c r="B39" s="244"/>
      <c r="C39" s="244"/>
      <c r="D39" s="375"/>
      <c r="E39" s="375"/>
      <c r="F39" s="375"/>
      <c r="G39" s="375"/>
      <c r="H39" s="375"/>
      <c r="I39" s="375"/>
      <c r="J39" s="574"/>
      <c r="K39" s="375"/>
      <c r="L39" s="375"/>
      <c r="M39" s="375"/>
      <c r="N39" s="375"/>
      <c r="O39" s="375"/>
      <c r="P39" s="375"/>
      <c r="Q39" s="375"/>
      <c r="R39" s="375"/>
      <c r="S39" s="375"/>
      <c r="T39" s="375"/>
      <c r="U39" s="262"/>
      <c r="V39" s="375"/>
      <c r="W39" s="375"/>
    </row>
    <row r="40" spans="2:23" x14ac:dyDescent="0.25">
      <c r="B40" s="1165" t="str">
        <f>SecondDirection</f>
        <v>Direction 2</v>
      </c>
      <c r="C40" s="1166"/>
      <c r="D40" s="1166"/>
      <c r="E40" s="353" t="s">
        <v>633</v>
      </c>
      <c r="F40" s="1172" t="s">
        <v>636</v>
      </c>
      <c r="G40" s="1161"/>
      <c r="H40" s="1173"/>
      <c r="I40" s="252" t="s">
        <v>635</v>
      </c>
      <c r="J40" s="578" t="s">
        <v>239</v>
      </c>
      <c r="K40" s="265" t="s">
        <v>646</v>
      </c>
      <c r="L40" s="1160" t="s">
        <v>628</v>
      </c>
      <c r="M40" s="1161"/>
      <c r="N40" s="1161"/>
      <c r="O40" s="1162"/>
      <c r="P40" s="271" t="s">
        <v>842</v>
      </c>
      <c r="Q40" s="1160" t="s">
        <v>860</v>
      </c>
      <c r="R40" s="1161"/>
      <c r="S40" s="1161"/>
      <c r="T40" s="1162"/>
      <c r="U40" s="263" t="s">
        <v>239</v>
      </c>
      <c r="V40" s="247"/>
      <c r="W40" s="157"/>
    </row>
    <row r="41" spans="2:23" x14ac:dyDescent="0.25">
      <c r="B41" s="253" t="s">
        <v>527</v>
      </c>
      <c r="C41" s="386" t="s">
        <v>528</v>
      </c>
      <c r="D41" s="264" t="s">
        <v>628</v>
      </c>
      <c r="E41" s="267" t="s">
        <v>579</v>
      </c>
      <c r="F41" s="253" t="s">
        <v>634</v>
      </c>
      <c r="G41" s="253" t="s">
        <v>239</v>
      </c>
      <c r="H41" s="253" t="s">
        <v>645</v>
      </c>
      <c r="I41" s="253" t="s">
        <v>579</v>
      </c>
      <c r="J41" s="264" t="s">
        <v>1204</v>
      </c>
      <c r="K41" s="264" t="s">
        <v>579</v>
      </c>
      <c r="L41" s="267" t="s">
        <v>203</v>
      </c>
      <c r="M41" s="253" t="s">
        <v>176</v>
      </c>
      <c r="N41" s="253" t="s">
        <v>559</v>
      </c>
      <c r="O41" s="268" t="s">
        <v>558</v>
      </c>
      <c r="P41" s="272" t="s">
        <v>1202</v>
      </c>
      <c r="Q41" s="267" t="s">
        <v>203</v>
      </c>
      <c r="R41" s="253" t="s">
        <v>176</v>
      </c>
      <c r="S41" s="253" t="s">
        <v>559</v>
      </c>
      <c r="T41" s="268" t="s">
        <v>558</v>
      </c>
      <c r="U41" s="266" t="s">
        <v>639</v>
      </c>
      <c r="V41" s="247"/>
      <c r="W41" s="157"/>
    </row>
    <row r="42" spans="2:23" s="35" customFormat="1" x14ac:dyDescent="0.25">
      <c r="B42" s="195"/>
      <c r="C42" s="376" t="s">
        <v>647</v>
      </c>
      <c r="D42" s="245" t="s">
        <v>533</v>
      </c>
      <c r="E42" s="183" t="s">
        <v>644</v>
      </c>
      <c r="F42" s="195" t="s">
        <v>644</v>
      </c>
      <c r="G42" s="195" t="s">
        <v>644</v>
      </c>
      <c r="H42" s="195" t="s">
        <v>644</v>
      </c>
      <c r="I42" s="195" t="s">
        <v>644</v>
      </c>
      <c r="J42" s="576" t="s">
        <v>644</v>
      </c>
      <c r="K42" s="245" t="s">
        <v>537</v>
      </c>
      <c r="L42" s="1163" t="s">
        <v>649</v>
      </c>
      <c r="M42" s="699"/>
      <c r="N42" s="699"/>
      <c r="O42" s="1164"/>
      <c r="P42" s="273" t="s">
        <v>648</v>
      </c>
      <c r="Q42" s="1163" t="s">
        <v>584</v>
      </c>
      <c r="R42" s="699"/>
      <c r="S42" s="699"/>
      <c r="T42" s="1164"/>
      <c r="U42" s="246" t="s">
        <v>584</v>
      </c>
      <c r="V42" s="247"/>
      <c r="W42" s="157"/>
    </row>
    <row r="43" spans="2:23" x14ac:dyDescent="0.25">
      <c r="B43" s="152">
        <f>IF(TimeStart2="All Day",0,TimeStart2)</f>
        <v>0</v>
      </c>
      <c r="C43" s="177" t="s">
        <v>531</v>
      </c>
      <c r="D43" s="248" t="e">
        <f>Volumes!BZ37</f>
        <v>#N/A</v>
      </c>
      <c r="E43" s="178">
        <v>0</v>
      </c>
      <c r="F43" s="350" t="e">
        <f t="shared" ref="F43:F66" si="20">MIN(D43,Capacity2)</f>
        <v>#N/A</v>
      </c>
      <c r="G43" s="350" t="e">
        <f>E43+F43</f>
        <v>#N/A</v>
      </c>
      <c r="H43" s="350" t="e">
        <f t="shared" ref="H43:H66" si="21">MIN(WZCap2,G43)</f>
        <v>#N/A</v>
      </c>
      <c r="I43" s="350" t="e">
        <f>G43-H43</f>
        <v>#N/A</v>
      </c>
      <c r="J43" s="577" t="e">
        <f t="shared" ref="J43:J66" si="22">IF(I43&gt;0,IF(I42&gt;0,H43,I43),I43)</f>
        <v>#N/A</v>
      </c>
      <c r="K43" s="250" t="e">
        <f t="shared" ref="K43:K44" si="23">ROUND(((I43/LanesEX2)*AvgLength2)/5280,1)</f>
        <v>#N/A</v>
      </c>
      <c r="L43" s="269" t="e">
        <f>MIN(I43,F43)-M43-N43-O43</f>
        <v>#N/A</v>
      </c>
      <c r="M43" s="333" t="e">
        <f t="shared" ref="M43:M66" si="24">IF(ADTPCE2wz&gt;0,ROUND(MIN(I43,F43)*((ADTSU2wz*FHVsuct)/ADTPCE2wz),0),0)</f>
        <v>#N/A</v>
      </c>
      <c r="N43" s="333" t="e">
        <f t="shared" ref="N43:N66" si="25">IF(ADTPCE2wz&gt;0,ROUND(MIN(I43,F43)*((ADTCT2wz*FHVsuct)/ADTPCE2wz),0),0)</f>
        <v>#N/A</v>
      </c>
      <c r="O43" s="270" t="e">
        <f t="shared" ref="O43:O66" si="26">IF(ADTPCE2wz&gt;0,ROUND(MIN(I43,F43)*((ADTRV2wz*fHVrv)/ADTPCE2wz),0),0)</f>
        <v>#N/A</v>
      </c>
      <c r="P43" s="274" t="e">
        <f t="shared" ref="P43:P66" si="27">ROUND(((K43/Qspeed2)+(((K43-(Taper2/5280))/AvgLength2)*(1/WZCap2))-(K43/wzFFS2))*60,2)</f>
        <v>#N/A</v>
      </c>
      <c r="Q43" s="133" t="e">
        <f t="shared" ref="Q43:Q66" si="28">IF(L43&gt;0,L43*($P43+QDecel2pc),0)</f>
        <v>#N/A</v>
      </c>
      <c r="R43" s="352" t="e">
        <f t="shared" ref="R43:R66" si="29">IF(M43&gt;0,M43*($P43+QDecel2su),0)</f>
        <v>#N/A</v>
      </c>
      <c r="S43" s="352" t="e">
        <f t="shared" ref="S43:S66" si="30">IF(N43&gt;0,N43*($P43+QDecel2ct),0)</f>
        <v>#N/A</v>
      </c>
      <c r="T43" s="184" t="e">
        <f t="shared" ref="T43:T66" si="31">IF(O43&gt;0,O43*($P43+QDecel2rv),0)</f>
        <v>#N/A</v>
      </c>
      <c r="U43" s="251" t="e">
        <f>SUM(Q43:T43)</f>
        <v>#N/A</v>
      </c>
      <c r="V43" s="247"/>
      <c r="W43" s="157"/>
    </row>
    <row r="44" spans="2:23" x14ac:dyDescent="0.25">
      <c r="B44" s="152">
        <f>IF(B43+TIME(1,0,0)=1,TIME(0,0,0),IF(B43+TIME(1,0,0)&gt;1,B43+TIME(1,0,0)-1,B43+TIME(1,0,0)))</f>
        <v>4.1666666666666664E-2</v>
      </c>
      <c r="C44" s="177" t="str">
        <f t="shared" ref="C44:C66" si="32">IF(TimeEnd2="All Day","YES",IF(ABS(TimeEnd2-B44)&lt;0.0000000001,"no",IF(C43="YES","YES","no")))</f>
        <v>YES</v>
      </c>
      <c r="D44" s="301" t="e">
        <f>Volumes!BZ38</f>
        <v>#N/A</v>
      </c>
      <c r="E44" s="178" t="e">
        <f>I43</f>
        <v>#N/A</v>
      </c>
      <c r="F44" s="350" t="e">
        <f t="shared" si="20"/>
        <v>#N/A</v>
      </c>
      <c r="G44" s="350" t="e">
        <f t="shared" ref="G44" si="33">E44+F44</f>
        <v>#N/A</v>
      </c>
      <c r="H44" s="350" t="e">
        <f t="shared" si="21"/>
        <v>#N/A</v>
      </c>
      <c r="I44" s="350" t="e">
        <f t="shared" ref="I44" si="34">G44-H44</f>
        <v>#N/A</v>
      </c>
      <c r="J44" s="577" t="e">
        <f t="shared" si="22"/>
        <v>#N/A</v>
      </c>
      <c r="K44" s="250" t="e">
        <f t="shared" si="23"/>
        <v>#N/A</v>
      </c>
      <c r="L44" s="269" t="e">
        <f t="shared" ref="L44:L66" si="35">MIN(I44,F44)-M44-N44-O44</f>
        <v>#N/A</v>
      </c>
      <c r="M44" s="584" t="e">
        <f t="shared" si="24"/>
        <v>#N/A</v>
      </c>
      <c r="N44" s="584" t="e">
        <f t="shared" si="25"/>
        <v>#N/A</v>
      </c>
      <c r="O44" s="270" t="e">
        <f t="shared" si="26"/>
        <v>#N/A</v>
      </c>
      <c r="P44" s="274" t="e">
        <f t="shared" si="27"/>
        <v>#N/A</v>
      </c>
      <c r="Q44" s="133" t="e">
        <f t="shared" si="28"/>
        <v>#N/A</v>
      </c>
      <c r="R44" s="352" t="e">
        <f t="shared" si="29"/>
        <v>#N/A</v>
      </c>
      <c r="S44" s="352" t="e">
        <f t="shared" si="30"/>
        <v>#N/A</v>
      </c>
      <c r="T44" s="184" t="e">
        <f t="shared" si="31"/>
        <v>#N/A</v>
      </c>
      <c r="U44" s="251" t="e">
        <f t="shared" ref="U44:U66" si="36">SUM(Q44:T44)</f>
        <v>#N/A</v>
      </c>
      <c r="V44" s="247"/>
      <c r="W44" s="157"/>
    </row>
    <row r="45" spans="2:23" x14ac:dyDescent="0.25">
      <c r="B45" s="152">
        <f t="shared" ref="B45:B66" si="37">IF(B44+TIME(1,0,0)=1,TIME(0,0,0),IF(B44+TIME(1,0,0)&gt;1,B44+TIME(1,0,0)-1,B44+TIME(1,0,0)))</f>
        <v>8.3333333333333329E-2</v>
      </c>
      <c r="C45" s="177" t="str">
        <f t="shared" si="32"/>
        <v>YES</v>
      </c>
      <c r="D45" s="301" t="e">
        <f>Volumes!BZ39</f>
        <v>#N/A</v>
      </c>
      <c r="E45" s="178" t="e">
        <f t="shared" ref="E45:E66" si="38">I44</f>
        <v>#N/A</v>
      </c>
      <c r="F45" s="350" t="e">
        <f t="shared" si="20"/>
        <v>#N/A</v>
      </c>
      <c r="G45" s="350" t="e">
        <f t="shared" ref="G45:G66" si="39">E45+F45</f>
        <v>#N/A</v>
      </c>
      <c r="H45" s="350" t="e">
        <f t="shared" si="21"/>
        <v>#N/A</v>
      </c>
      <c r="I45" s="350" t="e">
        <f t="shared" ref="I45:I66" si="40">G45-H45</f>
        <v>#N/A</v>
      </c>
      <c r="J45" s="577" t="e">
        <f t="shared" si="22"/>
        <v>#N/A</v>
      </c>
      <c r="K45" s="351" t="e">
        <f t="shared" ref="K45:K66" si="41">ROUND(((I45/LanesEX2)*AvgLength2)/5280,1)</f>
        <v>#N/A</v>
      </c>
      <c r="L45" s="269" t="e">
        <f t="shared" si="35"/>
        <v>#N/A</v>
      </c>
      <c r="M45" s="584" t="e">
        <f t="shared" si="24"/>
        <v>#N/A</v>
      </c>
      <c r="N45" s="584" t="e">
        <f t="shared" si="25"/>
        <v>#N/A</v>
      </c>
      <c r="O45" s="270" t="e">
        <f t="shared" si="26"/>
        <v>#N/A</v>
      </c>
      <c r="P45" s="274" t="e">
        <f t="shared" si="27"/>
        <v>#N/A</v>
      </c>
      <c r="Q45" s="133" t="e">
        <f t="shared" si="28"/>
        <v>#N/A</v>
      </c>
      <c r="R45" s="352" t="e">
        <f t="shared" si="29"/>
        <v>#N/A</v>
      </c>
      <c r="S45" s="352" t="e">
        <f t="shared" si="30"/>
        <v>#N/A</v>
      </c>
      <c r="T45" s="184" t="e">
        <f t="shared" si="31"/>
        <v>#N/A</v>
      </c>
      <c r="U45" s="251" t="e">
        <f t="shared" si="36"/>
        <v>#N/A</v>
      </c>
      <c r="V45" s="247"/>
      <c r="W45" s="157"/>
    </row>
    <row r="46" spans="2:23" x14ac:dyDescent="0.25">
      <c r="B46" s="152">
        <f t="shared" si="37"/>
        <v>0.125</v>
      </c>
      <c r="C46" s="177" t="str">
        <f t="shared" si="32"/>
        <v>YES</v>
      </c>
      <c r="D46" s="301" t="e">
        <f>Volumes!BZ40</f>
        <v>#N/A</v>
      </c>
      <c r="E46" s="178" t="e">
        <f t="shared" si="38"/>
        <v>#N/A</v>
      </c>
      <c r="F46" s="350" t="e">
        <f t="shared" si="20"/>
        <v>#N/A</v>
      </c>
      <c r="G46" s="350" t="e">
        <f t="shared" si="39"/>
        <v>#N/A</v>
      </c>
      <c r="H46" s="350" t="e">
        <f t="shared" si="21"/>
        <v>#N/A</v>
      </c>
      <c r="I46" s="350" t="e">
        <f t="shared" si="40"/>
        <v>#N/A</v>
      </c>
      <c r="J46" s="577" t="e">
        <f>IF(I46&gt;0,IF(I45&gt;0,H46,I46),I46)</f>
        <v>#N/A</v>
      </c>
      <c r="K46" s="351" t="e">
        <f t="shared" si="41"/>
        <v>#N/A</v>
      </c>
      <c r="L46" s="269" t="e">
        <f t="shared" si="35"/>
        <v>#N/A</v>
      </c>
      <c r="M46" s="584" t="e">
        <f t="shared" si="24"/>
        <v>#N/A</v>
      </c>
      <c r="N46" s="584" t="e">
        <f t="shared" si="25"/>
        <v>#N/A</v>
      </c>
      <c r="O46" s="270" t="e">
        <f t="shared" si="26"/>
        <v>#N/A</v>
      </c>
      <c r="P46" s="274" t="e">
        <f t="shared" si="27"/>
        <v>#N/A</v>
      </c>
      <c r="Q46" s="133" t="e">
        <f t="shared" si="28"/>
        <v>#N/A</v>
      </c>
      <c r="R46" s="352" t="e">
        <f t="shared" si="29"/>
        <v>#N/A</v>
      </c>
      <c r="S46" s="352" t="e">
        <f t="shared" si="30"/>
        <v>#N/A</v>
      </c>
      <c r="T46" s="184" t="e">
        <f t="shared" si="31"/>
        <v>#N/A</v>
      </c>
      <c r="U46" s="251" t="e">
        <f t="shared" si="36"/>
        <v>#N/A</v>
      </c>
      <c r="V46" s="247"/>
      <c r="W46" s="157"/>
    </row>
    <row r="47" spans="2:23" x14ac:dyDescent="0.25">
      <c r="B47" s="152">
        <f t="shared" si="37"/>
        <v>0.16666666666666666</v>
      </c>
      <c r="C47" s="177" t="str">
        <f t="shared" si="32"/>
        <v>YES</v>
      </c>
      <c r="D47" s="301" t="e">
        <f>Volumes!BZ41</f>
        <v>#N/A</v>
      </c>
      <c r="E47" s="178" t="e">
        <f t="shared" si="38"/>
        <v>#N/A</v>
      </c>
      <c r="F47" s="350" t="e">
        <f t="shared" si="20"/>
        <v>#N/A</v>
      </c>
      <c r="G47" s="350" t="e">
        <f t="shared" si="39"/>
        <v>#N/A</v>
      </c>
      <c r="H47" s="350" t="e">
        <f t="shared" si="21"/>
        <v>#N/A</v>
      </c>
      <c r="I47" s="350" t="e">
        <f t="shared" si="40"/>
        <v>#N/A</v>
      </c>
      <c r="J47" s="577" t="e">
        <f t="shared" si="22"/>
        <v>#N/A</v>
      </c>
      <c r="K47" s="351" t="e">
        <f t="shared" si="41"/>
        <v>#N/A</v>
      </c>
      <c r="L47" s="269" t="e">
        <f t="shared" si="35"/>
        <v>#N/A</v>
      </c>
      <c r="M47" s="584" t="e">
        <f t="shared" si="24"/>
        <v>#N/A</v>
      </c>
      <c r="N47" s="584" t="e">
        <f t="shared" si="25"/>
        <v>#N/A</v>
      </c>
      <c r="O47" s="270" t="e">
        <f t="shared" si="26"/>
        <v>#N/A</v>
      </c>
      <c r="P47" s="274" t="e">
        <f t="shared" si="27"/>
        <v>#N/A</v>
      </c>
      <c r="Q47" s="133" t="e">
        <f t="shared" si="28"/>
        <v>#N/A</v>
      </c>
      <c r="R47" s="352" t="e">
        <f t="shared" si="29"/>
        <v>#N/A</v>
      </c>
      <c r="S47" s="352" t="e">
        <f t="shared" si="30"/>
        <v>#N/A</v>
      </c>
      <c r="T47" s="184" t="e">
        <f t="shared" si="31"/>
        <v>#N/A</v>
      </c>
      <c r="U47" s="251" t="e">
        <f t="shared" si="36"/>
        <v>#N/A</v>
      </c>
      <c r="V47" s="247"/>
      <c r="W47" s="157"/>
    </row>
    <row r="48" spans="2:23" x14ac:dyDescent="0.25">
      <c r="B48" s="152">
        <f t="shared" si="37"/>
        <v>0.20833333333333331</v>
      </c>
      <c r="C48" s="177" t="str">
        <f t="shared" si="32"/>
        <v>YES</v>
      </c>
      <c r="D48" s="301" t="e">
        <f>Volumes!BZ42</f>
        <v>#N/A</v>
      </c>
      <c r="E48" s="178" t="e">
        <f t="shared" si="38"/>
        <v>#N/A</v>
      </c>
      <c r="F48" s="350" t="e">
        <f t="shared" si="20"/>
        <v>#N/A</v>
      </c>
      <c r="G48" s="350" t="e">
        <f t="shared" si="39"/>
        <v>#N/A</v>
      </c>
      <c r="H48" s="350" t="e">
        <f t="shared" si="21"/>
        <v>#N/A</v>
      </c>
      <c r="I48" s="350" t="e">
        <f t="shared" si="40"/>
        <v>#N/A</v>
      </c>
      <c r="J48" s="577" t="e">
        <f t="shared" si="22"/>
        <v>#N/A</v>
      </c>
      <c r="K48" s="351" t="e">
        <f t="shared" si="41"/>
        <v>#N/A</v>
      </c>
      <c r="L48" s="269" t="e">
        <f t="shared" si="35"/>
        <v>#N/A</v>
      </c>
      <c r="M48" s="584" t="e">
        <f t="shared" si="24"/>
        <v>#N/A</v>
      </c>
      <c r="N48" s="584" t="e">
        <f t="shared" si="25"/>
        <v>#N/A</v>
      </c>
      <c r="O48" s="270" t="e">
        <f t="shared" si="26"/>
        <v>#N/A</v>
      </c>
      <c r="P48" s="274" t="e">
        <f t="shared" si="27"/>
        <v>#N/A</v>
      </c>
      <c r="Q48" s="133" t="e">
        <f t="shared" si="28"/>
        <v>#N/A</v>
      </c>
      <c r="R48" s="352" t="e">
        <f t="shared" si="29"/>
        <v>#N/A</v>
      </c>
      <c r="S48" s="352" t="e">
        <f t="shared" si="30"/>
        <v>#N/A</v>
      </c>
      <c r="T48" s="184" t="e">
        <f t="shared" si="31"/>
        <v>#N/A</v>
      </c>
      <c r="U48" s="251" t="e">
        <f t="shared" si="36"/>
        <v>#N/A</v>
      </c>
      <c r="V48" s="247"/>
      <c r="W48" s="157"/>
    </row>
    <row r="49" spans="2:23" x14ac:dyDescent="0.25">
      <c r="B49" s="152">
        <f t="shared" si="37"/>
        <v>0.24999999999999997</v>
      </c>
      <c r="C49" s="177" t="str">
        <f t="shared" si="32"/>
        <v>YES</v>
      </c>
      <c r="D49" s="301" t="e">
        <f>Volumes!BZ43</f>
        <v>#N/A</v>
      </c>
      <c r="E49" s="178" t="e">
        <f t="shared" si="38"/>
        <v>#N/A</v>
      </c>
      <c r="F49" s="350" t="e">
        <f t="shared" si="20"/>
        <v>#N/A</v>
      </c>
      <c r="G49" s="350" t="e">
        <f t="shared" si="39"/>
        <v>#N/A</v>
      </c>
      <c r="H49" s="350" t="e">
        <f t="shared" si="21"/>
        <v>#N/A</v>
      </c>
      <c r="I49" s="350" t="e">
        <f t="shared" si="40"/>
        <v>#N/A</v>
      </c>
      <c r="J49" s="577" t="e">
        <f t="shared" si="22"/>
        <v>#N/A</v>
      </c>
      <c r="K49" s="351" t="e">
        <f t="shared" si="41"/>
        <v>#N/A</v>
      </c>
      <c r="L49" s="269" t="e">
        <f t="shared" si="35"/>
        <v>#N/A</v>
      </c>
      <c r="M49" s="584" t="e">
        <f t="shared" si="24"/>
        <v>#N/A</v>
      </c>
      <c r="N49" s="584" t="e">
        <f t="shared" si="25"/>
        <v>#N/A</v>
      </c>
      <c r="O49" s="270" t="e">
        <f t="shared" si="26"/>
        <v>#N/A</v>
      </c>
      <c r="P49" s="274" t="e">
        <f t="shared" si="27"/>
        <v>#N/A</v>
      </c>
      <c r="Q49" s="133" t="e">
        <f t="shared" si="28"/>
        <v>#N/A</v>
      </c>
      <c r="R49" s="352" t="e">
        <f t="shared" si="29"/>
        <v>#N/A</v>
      </c>
      <c r="S49" s="352" t="e">
        <f t="shared" si="30"/>
        <v>#N/A</v>
      </c>
      <c r="T49" s="184" t="e">
        <f t="shared" si="31"/>
        <v>#N/A</v>
      </c>
      <c r="U49" s="251" t="e">
        <f t="shared" si="36"/>
        <v>#N/A</v>
      </c>
      <c r="V49" s="247"/>
      <c r="W49" s="157"/>
    </row>
    <row r="50" spans="2:23" x14ac:dyDescent="0.25">
      <c r="B50" s="152">
        <f t="shared" si="37"/>
        <v>0.29166666666666663</v>
      </c>
      <c r="C50" s="177" t="str">
        <f t="shared" si="32"/>
        <v>YES</v>
      </c>
      <c r="D50" s="301" t="e">
        <f>Volumes!BZ44</f>
        <v>#N/A</v>
      </c>
      <c r="E50" s="178" t="e">
        <f t="shared" si="38"/>
        <v>#N/A</v>
      </c>
      <c r="F50" s="350" t="e">
        <f t="shared" si="20"/>
        <v>#N/A</v>
      </c>
      <c r="G50" s="350" t="e">
        <f t="shared" si="39"/>
        <v>#N/A</v>
      </c>
      <c r="H50" s="350" t="e">
        <f t="shared" si="21"/>
        <v>#N/A</v>
      </c>
      <c r="I50" s="350" t="e">
        <f t="shared" si="40"/>
        <v>#N/A</v>
      </c>
      <c r="J50" s="577" t="e">
        <f t="shared" si="22"/>
        <v>#N/A</v>
      </c>
      <c r="K50" s="351" t="e">
        <f t="shared" si="41"/>
        <v>#N/A</v>
      </c>
      <c r="L50" s="269" t="e">
        <f t="shared" si="35"/>
        <v>#N/A</v>
      </c>
      <c r="M50" s="584" t="e">
        <f t="shared" si="24"/>
        <v>#N/A</v>
      </c>
      <c r="N50" s="584" t="e">
        <f t="shared" si="25"/>
        <v>#N/A</v>
      </c>
      <c r="O50" s="270" t="e">
        <f t="shared" si="26"/>
        <v>#N/A</v>
      </c>
      <c r="P50" s="274" t="e">
        <f t="shared" si="27"/>
        <v>#N/A</v>
      </c>
      <c r="Q50" s="133" t="e">
        <f t="shared" si="28"/>
        <v>#N/A</v>
      </c>
      <c r="R50" s="352" t="e">
        <f t="shared" si="29"/>
        <v>#N/A</v>
      </c>
      <c r="S50" s="352" t="e">
        <f t="shared" si="30"/>
        <v>#N/A</v>
      </c>
      <c r="T50" s="184" t="e">
        <f t="shared" si="31"/>
        <v>#N/A</v>
      </c>
      <c r="U50" s="251" t="e">
        <f t="shared" si="36"/>
        <v>#N/A</v>
      </c>
      <c r="V50" s="247"/>
      <c r="W50" s="157"/>
    </row>
    <row r="51" spans="2:23" x14ac:dyDescent="0.25">
      <c r="B51" s="152">
        <f t="shared" si="37"/>
        <v>0.33333333333333331</v>
      </c>
      <c r="C51" s="177" t="str">
        <f t="shared" si="32"/>
        <v>YES</v>
      </c>
      <c r="D51" s="301" t="e">
        <f>Volumes!BZ45</f>
        <v>#N/A</v>
      </c>
      <c r="E51" s="178" t="e">
        <f t="shared" si="38"/>
        <v>#N/A</v>
      </c>
      <c r="F51" s="350" t="e">
        <f t="shared" si="20"/>
        <v>#N/A</v>
      </c>
      <c r="G51" s="350" t="e">
        <f t="shared" si="39"/>
        <v>#N/A</v>
      </c>
      <c r="H51" s="350" t="e">
        <f t="shared" si="21"/>
        <v>#N/A</v>
      </c>
      <c r="I51" s="350" t="e">
        <f t="shared" si="40"/>
        <v>#N/A</v>
      </c>
      <c r="J51" s="577" t="e">
        <f t="shared" si="22"/>
        <v>#N/A</v>
      </c>
      <c r="K51" s="351" t="e">
        <f t="shared" si="41"/>
        <v>#N/A</v>
      </c>
      <c r="L51" s="269" t="e">
        <f t="shared" si="35"/>
        <v>#N/A</v>
      </c>
      <c r="M51" s="584" t="e">
        <f t="shared" si="24"/>
        <v>#N/A</v>
      </c>
      <c r="N51" s="584" t="e">
        <f t="shared" si="25"/>
        <v>#N/A</v>
      </c>
      <c r="O51" s="270" t="e">
        <f t="shared" si="26"/>
        <v>#N/A</v>
      </c>
      <c r="P51" s="274" t="e">
        <f t="shared" si="27"/>
        <v>#N/A</v>
      </c>
      <c r="Q51" s="133" t="e">
        <f t="shared" si="28"/>
        <v>#N/A</v>
      </c>
      <c r="R51" s="352" t="e">
        <f t="shared" si="29"/>
        <v>#N/A</v>
      </c>
      <c r="S51" s="352" t="e">
        <f t="shared" si="30"/>
        <v>#N/A</v>
      </c>
      <c r="T51" s="184" t="e">
        <f t="shared" si="31"/>
        <v>#N/A</v>
      </c>
      <c r="U51" s="251" t="e">
        <f t="shared" si="36"/>
        <v>#N/A</v>
      </c>
      <c r="V51" s="247"/>
      <c r="W51" s="157"/>
    </row>
    <row r="52" spans="2:23" x14ac:dyDescent="0.25">
      <c r="B52" s="152">
        <f t="shared" si="37"/>
        <v>0.375</v>
      </c>
      <c r="C52" s="177" t="str">
        <f t="shared" si="32"/>
        <v>YES</v>
      </c>
      <c r="D52" s="301" t="e">
        <f>Volumes!BZ46</f>
        <v>#N/A</v>
      </c>
      <c r="E52" s="178" t="e">
        <f t="shared" si="38"/>
        <v>#N/A</v>
      </c>
      <c r="F52" s="350" t="e">
        <f t="shared" si="20"/>
        <v>#N/A</v>
      </c>
      <c r="G52" s="350" t="e">
        <f t="shared" si="39"/>
        <v>#N/A</v>
      </c>
      <c r="H52" s="350" t="e">
        <f t="shared" si="21"/>
        <v>#N/A</v>
      </c>
      <c r="I52" s="350" t="e">
        <f t="shared" si="40"/>
        <v>#N/A</v>
      </c>
      <c r="J52" s="577" t="e">
        <f t="shared" si="22"/>
        <v>#N/A</v>
      </c>
      <c r="K52" s="351" t="e">
        <f t="shared" si="41"/>
        <v>#N/A</v>
      </c>
      <c r="L52" s="269" t="e">
        <f t="shared" si="35"/>
        <v>#N/A</v>
      </c>
      <c r="M52" s="584" t="e">
        <f t="shared" si="24"/>
        <v>#N/A</v>
      </c>
      <c r="N52" s="584" t="e">
        <f t="shared" si="25"/>
        <v>#N/A</v>
      </c>
      <c r="O52" s="270" t="e">
        <f t="shared" si="26"/>
        <v>#N/A</v>
      </c>
      <c r="P52" s="274" t="e">
        <f t="shared" si="27"/>
        <v>#N/A</v>
      </c>
      <c r="Q52" s="133" t="e">
        <f t="shared" si="28"/>
        <v>#N/A</v>
      </c>
      <c r="R52" s="352" t="e">
        <f t="shared" si="29"/>
        <v>#N/A</v>
      </c>
      <c r="S52" s="352" t="e">
        <f t="shared" si="30"/>
        <v>#N/A</v>
      </c>
      <c r="T52" s="184" t="e">
        <f t="shared" si="31"/>
        <v>#N/A</v>
      </c>
      <c r="U52" s="251" t="e">
        <f t="shared" si="36"/>
        <v>#N/A</v>
      </c>
      <c r="V52" s="247"/>
      <c r="W52" s="157"/>
    </row>
    <row r="53" spans="2:23" x14ac:dyDescent="0.25">
      <c r="B53" s="152">
        <f t="shared" si="37"/>
        <v>0.41666666666666669</v>
      </c>
      <c r="C53" s="177" t="str">
        <f t="shared" si="32"/>
        <v>YES</v>
      </c>
      <c r="D53" s="301" t="e">
        <f>Volumes!BZ47</f>
        <v>#N/A</v>
      </c>
      <c r="E53" s="178" t="e">
        <f t="shared" si="38"/>
        <v>#N/A</v>
      </c>
      <c r="F53" s="350" t="e">
        <f t="shared" si="20"/>
        <v>#N/A</v>
      </c>
      <c r="G53" s="350" t="e">
        <f t="shared" si="39"/>
        <v>#N/A</v>
      </c>
      <c r="H53" s="350" t="e">
        <f t="shared" si="21"/>
        <v>#N/A</v>
      </c>
      <c r="I53" s="350" t="e">
        <f t="shared" si="40"/>
        <v>#N/A</v>
      </c>
      <c r="J53" s="577" t="e">
        <f t="shared" si="22"/>
        <v>#N/A</v>
      </c>
      <c r="K53" s="351" t="e">
        <f t="shared" si="41"/>
        <v>#N/A</v>
      </c>
      <c r="L53" s="269" t="e">
        <f t="shared" si="35"/>
        <v>#N/A</v>
      </c>
      <c r="M53" s="584" t="e">
        <f t="shared" si="24"/>
        <v>#N/A</v>
      </c>
      <c r="N53" s="584" t="e">
        <f t="shared" si="25"/>
        <v>#N/A</v>
      </c>
      <c r="O53" s="270" t="e">
        <f t="shared" si="26"/>
        <v>#N/A</v>
      </c>
      <c r="P53" s="274" t="e">
        <f t="shared" si="27"/>
        <v>#N/A</v>
      </c>
      <c r="Q53" s="133" t="e">
        <f t="shared" si="28"/>
        <v>#N/A</v>
      </c>
      <c r="R53" s="352" t="e">
        <f t="shared" si="29"/>
        <v>#N/A</v>
      </c>
      <c r="S53" s="352" t="e">
        <f t="shared" si="30"/>
        <v>#N/A</v>
      </c>
      <c r="T53" s="184" t="e">
        <f t="shared" si="31"/>
        <v>#N/A</v>
      </c>
      <c r="U53" s="251" t="e">
        <f t="shared" si="36"/>
        <v>#N/A</v>
      </c>
      <c r="V53" s="247"/>
      <c r="W53" s="157"/>
    </row>
    <row r="54" spans="2:23" x14ac:dyDescent="0.25">
      <c r="B54" s="152">
        <f t="shared" si="37"/>
        <v>0.45833333333333337</v>
      </c>
      <c r="C54" s="177" t="str">
        <f t="shared" si="32"/>
        <v>YES</v>
      </c>
      <c r="D54" s="301" t="e">
        <f>Volumes!BZ48</f>
        <v>#N/A</v>
      </c>
      <c r="E54" s="178" t="e">
        <f t="shared" si="38"/>
        <v>#N/A</v>
      </c>
      <c r="F54" s="350" t="e">
        <f t="shared" si="20"/>
        <v>#N/A</v>
      </c>
      <c r="G54" s="350" t="e">
        <f t="shared" si="39"/>
        <v>#N/A</v>
      </c>
      <c r="H54" s="350" t="e">
        <f t="shared" si="21"/>
        <v>#N/A</v>
      </c>
      <c r="I54" s="350" t="e">
        <f t="shared" si="40"/>
        <v>#N/A</v>
      </c>
      <c r="J54" s="577" t="e">
        <f t="shared" si="22"/>
        <v>#N/A</v>
      </c>
      <c r="K54" s="351" t="e">
        <f t="shared" si="41"/>
        <v>#N/A</v>
      </c>
      <c r="L54" s="269" t="e">
        <f t="shared" si="35"/>
        <v>#N/A</v>
      </c>
      <c r="M54" s="584" t="e">
        <f t="shared" si="24"/>
        <v>#N/A</v>
      </c>
      <c r="N54" s="584" t="e">
        <f t="shared" si="25"/>
        <v>#N/A</v>
      </c>
      <c r="O54" s="270" t="e">
        <f t="shared" si="26"/>
        <v>#N/A</v>
      </c>
      <c r="P54" s="274" t="e">
        <f t="shared" si="27"/>
        <v>#N/A</v>
      </c>
      <c r="Q54" s="133" t="e">
        <f t="shared" si="28"/>
        <v>#N/A</v>
      </c>
      <c r="R54" s="352" t="e">
        <f t="shared" si="29"/>
        <v>#N/A</v>
      </c>
      <c r="S54" s="352" t="e">
        <f t="shared" si="30"/>
        <v>#N/A</v>
      </c>
      <c r="T54" s="184" t="e">
        <f t="shared" si="31"/>
        <v>#N/A</v>
      </c>
      <c r="U54" s="251" t="e">
        <f t="shared" si="36"/>
        <v>#N/A</v>
      </c>
      <c r="V54" s="247"/>
      <c r="W54" s="157"/>
    </row>
    <row r="55" spans="2:23" x14ac:dyDescent="0.25">
      <c r="B55" s="152">
        <f t="shared" si="37"/>
        <v>0.5</v>
      </c>
      <c r="C55" s="177" t="str">
        <f t="shared" si="32"/>
        <v>YES</v>
      </c>
      <c r="D55" s="301" t="e">
        <f>Volumes!BZ49</f>
        <v>#N/A</v>
      </c>
      <c r="E55" s="178" t="e">
        <f t="shared" si="38"/>
        <v>#N/A</v>
      </c>
      <c r="F55" s="350" t="e">
        <f t="shared" si="20"/>
        <v>#N/A</v>
      </c>
      <c r="G55" s="350" t="e">
        <f t="shared" si="39"/>
        <v>#N/A</v>
      </c>
      <c r="H55" s="350" t="e">
        <f t="shared" si="21"/>
        <v>#N/A</v>
      </c>
      <c r="I55" s="350" t="e">
        <f t="shared" si="40"/>
        <v>#N/A</v>
      </c>
      <c r="J55" s="577" t="e">
        <f t="shared" si="22"/>
        <v>#N/A</v>
      </c>
      <c r="K55" s="351" t="e">
        <f t="shared" si="41"/>
        <v>#N/A</v>
      </c>
      <c r="L55" s="269" t="e">
        <f t="shared" si="35"/>
        <v>#N/A</v>
      </c>
      <c r="M55" s="584" t="e">
        <f t="shared" si="24"/>
        <v>#N/A</v>
      </c>
      <c r="N55" s="584" t="e">
        <f t="shared" si="25"/>
        <v>#N/A</v>
      </c>
      <c r="O55" s="270" t="e">
        <f t="shared" si="26"/>
        <v>#N/A</v>
      </c>
      <c r="P55" s="274" t="e">
        <f t="shared" si="27"/>
        <v>#N/A</v>
      </c>
      <c r="Q55" s="133" t="e">
        <f t="shared" si="28"/>
        <v>#N/A</v>
      </c>
      <c r="R55" s="352" t="e">
        <f t="shared" si="29"/>
        <v>#N/A</v>
      </c>
      <c r="S55" s="352" t="e">
        <f t="shared" si="30"/>
        <v>#N/A</v>
      </c>
      <c r="T55" s="184" t="e">
        <f t="shared" si="31"/>
        <v>#N/A</v>
      </c>
      <c r="U55" s="251" t="e">
        <f t="shared" si="36"/>
        <v>#N/A</v>
      </c>
      <c r="V55" s="247"/>
      <c r="W55" s="157"/>
    </row>
    <row r="56" spans="2:23" x14ac:dyDescent="0.25">
      <c r="B56" s="152">
        <f t="shared" si="37"/>
        <v>0.54166666666666663</v>
      </c>
      <c r="C56" s="177" t="str">
        <f t="shared" si="32"/>
        <v>YES</v>
      </c>
      <c r="D56" s="301" t="e">
        <f>Volumes!BZ50</f>
        <v>#N/A</v>
      </c>
      <c r="E56" s="178" t="e">
        <f t="shared" si="38"/>
        <v>#N/A</v>
      </c>
      <c r="F56" s="350" t="e">
        <f t="shared" si="20"/>
        <v>#N/A</v>
      </c>
      <c r="G56" s="350" t="e">
        <f t="shared" si="39"/>
        <v>#N/A</v>
      </c>
      <c r="H56" s="350" t="e">
        <f t="shared" si="21"/>
        <v>#N/A</v>
      </c>
      <c r="I56" s="350" t="e">
        <f t="shared" si="40"/>
        <v>#N/A</v>
      </c>
      <c r="J56" s="577" t="e">
        <f t="shared" si="22"/>
        <v>#N/A</v>
      </c>
      <c r="K56" s="351" t="e">
        <f t="shared" si="41"/>
        <v>#N/A</v>
      </c>
      <c r="L56" s="269" t="e">
        <f t="shared" si="35"/>
        <v>#N/A</v>
      </c>
      <c r="M56" s="584" t="e">
        <f t="shared" si="24"/>
        <v>#N/A</v>
      </c>
      <c r="N56" s="584" t="e">
        <f t="shared" si="25"/>
        <v>#N/A</v>
      </c>
      <c r="O56" s="270" t="e">
        <f t="shared" si="26"/>
        <v>#N/A</v>
      </c>
      <c r="P56" s="274" t="e">
        <f t="shared" si="27"/>
        <v>#N/A</v>
      </c>
      <c r="Q56" s="133" t="e">
        <f t="shared" si="28"/>
        <v>#N/A</v>
      </c>
      <c r="R56" s="352" t="e">
        <f t="shared" si="29"/>
        <v>#N/A</v>
      </c>
      <c r="S56" s="352" t="e">
        <f t="shared" si="30"/>
        <v>#N/A</v>
      </c>
      <c r="T56" s="184" t="e">
        <f t="shared" si="31"/>
        <v>#N/A</v>
      </c>
      <c r="U56" s="251" t="e">
        <f t="shared" si="36"/>
        <v>#N/A</v>
      </c>
      <c r="V56" s="247"/>
      <c r="W56" s="157"/>
    </row>
    <row r="57" spans="2:23" x14ac:dyDescent="0.25">
      <c r="B57" s="152">
        <f t="shared" si="37"/>
        <v>0.58333333333333326</v>
      </c>
      <c r="C57" s="177" t="str">
        <f t="shared" si="32"/>
        <v>YES</v>
      </c>
      <c r="D57" s="301" t="e">
        <f>Volumes!BZ51</f>
        <v>#N/A</v>
      </c>
      <c r="E57" s="178" t="e">
        <f t="shared" si="38"/>
        <v>#N/A</v>
      </c>
      <c r="F57" s="350" t="e">
        <f t="shared" si="20"/>
        <v>#N/A</v>
      </c>
      <c r="G57" s="350" t="e">
        <f t="shared" si="39"/>
        <v>#N/A</v>
      </c>
      <c r="H57" s="350" t="e">
        <f t="shared" si="21"/>
        <v>#N/A</v>
      </c>
      <c r="I57" s="350" t="e">
        <f t="shared" si="40"/>
        <v>#N/A</v>
      </c>
      <c r="J57" s="577" t="e">
        <f t="shared" si="22"/>
        <v>#N/A</v>
      </c>
      <c r="K57" s="351" t="e">
        <f t="shared" si="41"/>
        <v>#N/A</v>
      </c>
      <c r="L57" s="269" t="e">
        <f t="shared" si="35"/>
        <v>#N/A</v>
      </c>
      <c r="M57" s="584" t="e">
        <f t="shared" si="24"/>
        <v>#N/A</v>
      </c>
      <c r="N57" s="584" t="e">
        <f t="shared" si="25"/>
        <v>#N/A</v>
      </c>
      <c r="O57" s="270" t="e">
        <f t="shared" si="26"/>
        <v>#N/A</v>
      </c>
      <c r="P57" s="274" t="e">
        <f t="shared" si="27"/>
        <v>#N/A</v>
      </c>
      <c r="Q57" s="133" t="e">
        <f t="shared" si="28"/>
        <v>#N/A</v>
      </c>
      <c r="R57" s="352" t="e">
        <f t="shared" si="29"/>
        <v>#N/A</v>
      </c>
      <c r="S57" s="352" t="e">
        <f t="shared" si="30"/>
        <v>#N/A</v>
      </c>
      <c r="T57" s="184" t="e">
        <f t="shared" si="31"/>
        <v>#N/A</v>
      </c>
      <c r="U57" s="251" t="e">
        <f t="shared" si="36"/>
        <v>#N/A</v>
      </c>
      <c r="V57" s="247"/>
      <c r="W57" s="157"/>
    </row>
    <row r="58" spans="2:23" x14ac:dyDescent="0.25">
      <c r="B58" s="152">
        <f t="shared" si="37"/>
        <v>0.62499999999999989</v>
      </c>
      <c r="C58" s="177" t="str">
        <f t="shared" si="32"/>
        <v>YES</v>
      </c>
      <c r="D58" s="301" t="e">
        <f>Volumes!BZ52</f>
        <v>#N/A</v>
      </c>
      <c r="E58" s="178" t="e">
        <f t="shared" si="38"/>
        <v>#N/A</v>
      </c>
      <c r="F58" s="350" t="e">
        <f t="shared" si="20"/>
        <v>#N/A</v>
      </c>
      <c r="G58" s="350" t="e">
        <f t="shared" si="39"/>
        <v>#N/A</v>
      </c>
      <c r="H58" s="350" t="e">
        <f t="shared" si="21"/>
        <v>#N/A</v>
      </c>
      <c r="I58" s="350" t="e">
        <f t="shared" si="40"/>
        <v>#N/A</v>
      </c>
      <c r="J58" s="577" t="e">
        <f t="shared" si="22"/>
        <v>#N/A</v>
      </c>
      <c r="K58" s="351" t="e">
        <f t="shared" si="41"/>
        <v>#N/A</v>
      </c>
      <c r="L58" s="269" t="e">
        <f t="shared" si="35"/>
        <v>#N/A</v>
      </c>
      <c r="M58" s="584" t="e">
        <f t="shared" si="24"/>
        <v>#N/A</v>
      </c>
      <c r="N58" s="584" t="e">
        <f t="shared" si="25"/>
        <v>#N/A</v>
      </c>
      <c r="O58" s="270" t="e">
        <f t="shared" si="26"/>
        <v>#N/A</v>
      </c>
      <c r="P58" s="274" t="e">
        <f t="shared" si="27"/>
        <v>#N/A</v>
      </c>
      <c r="Q58" s="133" t="e">
        <f t="shared" si="28"/>
        <v>#N/A</v>
      </c>
      <c r="R58" s="352" t="e">
        <f t="shared" si="29"/>
        <v>#N/A</v>
      </c>
      <c r="S58" s="352" t="e">
        <f t="shared" si="30"/>
        <v>#N/A</v>
      </c>
      <c r="T58" s="184" t="e">
        <f t="shared" si="31"/>
        <v>#N/A</v>
      </c>
      <c r="U58" s="251" t="e">
        <f t="shared" si="36"/>
        <v>#N/A</v>
      </c>
      <c r="V58" s="247"/>
      <c r="W58" s="157"/>
    </row>
    <row r="59" spans="2:23" x14ac:dyDescent="0.25">
      <c r="B59" s="152">
        <f t="shared" si="37"/>
        <v>0.66666666666666652</v>
      </c>
      <c r="C59" s="177" t="str">
        <f t="shared" si="32"/>
        <v>YES</v>
      </c>
      <c r="D59" s="301" t="e">
        <f>Volumes!BZ53</f>
        <v>#N/A</v>
      </c>
      <c r="E59" s="178" t="e">
        <f t="shared" si="38"/>
        <v>#N/A</v>
      </c>
      <c r="F59" s="350" t="e">
        <f t="shared" si="20"/>
        <v>#N/A</v>
      </c>
      <c r="G59" s="350" t="e">
        <f t="shared" si="39"/>
        <v>#N/A</v>
      </c>
      <c r="H59" s="350" t="e">
        <f t="shared" si="21"/>
        <v>#N/A</v>
      </c>
      <c r="I59" s="350" t="e">
        <f t="shared" si="40"/>
        <v>#N/A</v>
      </c>
      <c r="J59" s="577" t="e">
        <f t="shared" si="22"/>
        <v>#N/A</v>
      </c>
      <c r="K59" s="351" t="e">
        <f t="shared" si="41"/>
        <v>#N/A</v>
      </c>
      <c r="L59" s="269" t="e">
        <f t="shared" si="35"/>
        <v>#N/A</v>
      </c>
      <c r="M59" s="584" t="e">
        <f t="shared" si="24"/>
        <v>#N/A</v>
      </c>
      <c r="N59" s="584" t="e">
        <f t="shared" si="25"/>
        <v>#N/A</v>
      </c>
      <c r="O59" s="270" t="e">
        <f t="shared" si="26"/>
        <v>#N/A</v>
      </c>
      <c r="P59" s="274" t="e">
        <f t="shared" si="27"/>
        <v>#N/A</v>
      </c>
      <c r="Q59" s="133" t="e">
        <f t="shared" si="28"/>
        <v>#N/A</v>
      </c>
      <c r="R59" s="352" t="e">
        <f t="shared" si="29"/>
        <v>#N/A</v>
      </c>
      <c r="S59" s="352" t="e">
        <f t="shared" si="30"/>
        <v>#N/A</v>
      </c>
      <c r="T59" s="184" t="e">
        <f t="shared" si="31"/>
        <v>#N/A</v>
      </c>
      <c r="U59" s="251" t="e">
        <f t="shared" si="36"/>
        <v>#N/A</v>
      </c>
      <c r="V59" s="247"/>
      <c r="W59" s="157"/>
    </row>
    <row r="60" spans="2:23" x14ac:dyDescent="0.25">
      <c r="B60" s="152">
        <f t="shared" si="37"/>
        <v>0.70833333333333315</v>
      </c>
      <c r="C60" s="177" t="str">
        <f t="shared" si="32"/>
        <v>YES</v>
      </c>
      <c r="D60" s="301" t="e">
        <f>Volumes!BZ54</f>
        <v>#N/A</v>
      </c>
      <c r="E60" s="178" t="e">
        <f t="shared" si="38"/>
        <v>#N/A</v>
      </c>
      <c r="F60" s="350" t="e">
        <f t="shared" si="20"/>
        <v>#N/A</v>
      </c>
      <c r="G60" s="350" t="e">
        <f t="shared" si="39"/>
        <v>#N/A</v>
      </c>
      <c r="H60" s="350" t="e">
        <f t="shared" si="21"/>
        <v>#N/A</v>
      </c>
      <c r="I60" s="350" t="e">
        <f t="shared" si="40"/>
        <v>#N/A</v>
      </c>
      <c r="J60" s="577" t="e">
        <f t="shared" si="22"/>
        <v>#N/A</v>
      </c>
      <c r="K60" s="351" t="e">
        <f t="shared" si="41"/>
        <v>#N/A</v>
      </c>
      <c r="L60" s="269" t="e">
        <f t="shared" si="35"/>
        <v>#N/A</v>
      </c>
      <c r="M60" s="584" t="e">
        <f t="shared" si="24"/>
        <v>#N/A</v>
      </c>
      <c r="N60" s="584" t="e">
        <f t="shared" si="25"/>
        <v>#N/A</v>
      </c>
      <c r="O60" s="270" t="e">
        <f t="shared" si="26"/>
        <v>#N/A</v>
      </c>
      <c r="P60" s="274" t="e">
        <f t="shared" si="27"/>
        <v>#N/A</v>
      </c>
      <c r="Q60" s="133" t="e">
        <f t="shared" si="28"/>
        <v>#N/A</v>
      </c>
      <c r="R60" s="352" t="e">
        <f t="shared" si="29"/>
        <v>#N/A</v>
      </c>
      <c r="S60" s="352" t="e">
        <f t="shared" si="30"/>
        <v>#N/A</v>
      </c>
      <c r="T60" s="184" t="e">
        <f t="shared" si="31"/>
        <v>#N/A</v>
      </c>
      <c r="U60" s="251" t="e">
        <f t="shared" si="36"/>
        <v>#N/A</v>
      </c>
      <c r="V60" s="5"/>
      <c r="W60" s="157"/>
    </row>
    <row r="61" spans="2:23" x14ac:dyDescent="0.25">
      <c r="B61" s="152">
        <f t="shared" si="37"/>
        <v>0.74999999999999978</v>
      </c>
      <c r="C61" s="177" t="str">
        <f t="shared" si="32"/>
        <v>YES</v>
      </c>
      <c r="D61" s="301" t="e">
        <f>Volumes!BZ55</f>
        <v>#N/A</v>
      </c>
      <c r="E61" s="178" t="e">
        <f t="shared" si="38"/>
        <v>#N/A</v>
      </c>
      <c r="F61" s="350" t="e">
        <f t="shared" si="20"/>
        <v>#N/A</v>
      </c>
      <c r="G61" s="350" t="e">
        <f t="shared" si="39"/>
        <v>#N/A</v>
      </c>
      <c r="H61" s="350" t="e">
        <f t="shared" si="21"/>
        <v>#N/A</v>
      </c>
      <c r="I61" s="350" t="e">
        <f t="shared" si="40"/>
        <v>#N/A</v>
      </c>
      <c r="J61" s="577" t="e">
        <f t="shared" si="22"/>
        <v>#N/A</v>
      </c>
      <c r="K61" s="351" t="e">
        <f t="shared" si="41"/>
        <v>#N/A</v>
      </c>
      <c r="L61" s="269" t="e">
        <f t="shared" si="35"/>
        <v>#N/A</v>
      </c>
      <c r="M61" s="584" t="e">
        <f t="shared" si="24"/>
        <v>#N/A</v>
      </c>
      <c r="N61" s="584" t="e">
        <f t="shared" si="25"/>
        <v>#N/A</v>
      </c>
      <c r="O61" s="270" t="e">
        <f t="shared" si="26"/>
        <v>#N/A</v>
      </c>
      <c r="P61" s="274" t="e">
        <f t="shared" si="27"/>
        <v>#N/A</v>
      </c>
      <c r="Q61" s="133" t="e">
        <f t="shared" si="28"/>
        <v>#N/A</v>
      </c>
      <c r="R61" s="352" t="e">
        <f t="shared" si="29"/>
        <v>#N/A</v>
      </c>
      <c r="S61" s="352" t="e">
        <f t="shared" si="30"/>
        <v>#N/A</v>
      </c>
      <c r="T61" s="184" t="e">
        <f t="shared" si="31"/>
        <v>#N/A</v>
      </c>
      <c r="U61" s="251" t="e">
        <f t="shared" si="36"/>
        <v>#N/A</v>
      </c>
      <c r="V61" s="247"/>
      <c r="W61" s="157"/>
    </row>
    <row r="62" spans="2:23" x14ac:dyDescent="0.25">
      <c r="B62" s="152">
        <f t="shared" si="37"/>
        <v>0.79166666666666641</v>
      </c>
      <c r="C62" s="177" t="str">
        <f t="shared" si="32"/>
        <v>YES</v>
      </c>
      <c r="D62" s="301" t="e">
        <f>Volumes!BZ56</f>
        <v>#N/A</v>
      </c>
      <c r="E62" s="178" t="e">
        <f t="shared" si="38"/>
        <v>#N/A</v>
      </c>
      <c r="F62" s="350" t="e">
        <f t="shared" si="20"/>
        <v>#N/A</v>
      </c>
      <c r="G62" s="350" t="e">
        <f t="shared" si="39"/>
        <v>#N/A</v>
      </c>
      <c r="H62" s="350" t="e">
        <f t="shared" si="21"/>
        <v>#N/A</v>
      </c>
      <c r="I62" s="350" t="e">
        <f t="shared" si="40"/>
        <v>#N/A</v>
      </c>
      <c r="J62" s="577" t="e">
        <f t="shared" si="22"/>
        <v>#N/A</v>
      </c>
      <c r="K62" s="351" t="e">
        <f t="shared" si="41"/>
        <v>#N/A</v>
      </c>
      <c r="L62" s="269" t="e">
        <f t="shared" si="35"/>
        <v>#N/A</v>
      </c>
      <c r="M62" s="584" t="e">
        <f t="shared" si="24"/>
        <v>#N/A</v>
      </c>
      <c r="N62" s="584" t="e">
        <f t="shared" si="25"/>
        <v>#N/A</v>
      </c>
      <c r="O62" s="270" t="e">
        <f t="shared" si="26"/>
        <v>#N/A</v>
      </c>
      <c r="P62" s="274" t="e">
        <f t="shared" si="27"/>
        <v>#N/A</v>
      </c>
      <c r="Q62" s="133" t="e">
        <f t="shared" si="28"/>
        <v>#N/A</v>
      </c>
      <c r="R62" s="352" t="e">
        <f t="shared" si="29"/>
        <v>#N/A</v>
      </c>
      <c r="S62" s="352" t="e">
        <f t="shared" si="30"/>
        <v>#N/A</v>
      </c>
      <c r="T62" s="184" t="e">
        <f t="shared" si="31"/>
        <v>#N/A</v>
      </c>
      <c r="U62" s="251" t="e">
        <f t="shared" si="36"/>
        <v>#N/A</v>
      </c>
      <c r="V62" s="247"/>
      <c r="W62" s="157"/>
    </row>
    <row r="63" spans="2:23" x14ac:dyDescent="0.25">
      <c r="B63" s="152">
        <f t="shared" si="37"/>
        <v>0.83333333333333304</v>
      </c>
      <c r="C63" s="177" t="str">
        <f t="shared" si="32"/>
        <v>YES</v>
      </c>
      <c r="D63" s="301" t="e">
        <f>Volumes!BZ57</f>
        <v>#N/A</v>
      </c>
      <c r="E63" s="178" t="e">
        <f t="shared" si="38"/>
        <v>#N/A</v>
      </c>
      <c r="F63" s="350" t="e">
        <f t="shared" si="20"/>
        <v>#N/A</v>
      </c>
      <c r="G63" s="350" t="e">
        <f t="shared" si="39"/>
        <v>#N/A</v>
      </c>
      <c r="H63" s="350" t="e">
        <f t="shared" si="21"/>
        <v>#N/A</v>
      </c>
      <c r="I63" s="350" t="e">
        <f t="shared" si="40"/>
        <v>#N/A</v>
      </c>
      <c r="J63" s="577" t="e">
        <f t="shared" si="22"/>
        <v>#N/A</v>
      </c>
      <c r="K63" s="351" t="e">
        <f t="shared" si="41"/>
        <v>#N/A</v>
      </c>
      <c r="L63" s="269" t="e">
        <f t="shared" si="35"/>
        <v>#N/A</v>
      </c>
      <c r="M63" s="584" t="e">
        <f t="shared" si="24"/>
        <v>#N/A</v>
      </c>
      <c r="N63" s="584" t="e">
        <f t="shared" si="25"/>
        <v>#N/A</v>
      </c>
      <c r="O63" s="270" t="e">
        <f t="shared" si="26"/>
        <v>#N/A</v>
      </c>
      <c r="P63" s="274" t="e">
        <f t="shared" si="27"/>
        <v>#N/A</v>
      </c>
      <c r="Q63" s="133" t="e">
        <f t="shared" si="28"/>
        <v>#N/A</v>
      </c>
      <c r="R63" s="352" t="e">
        <f t="shared" si="29"/>
        <v>#N/A</v>
      </c>
      <c r="S63" s="352" t="e">
        <f t="shared" si="30"/>
        <v>#N/A</v>
      </c>
      <c r="T63" s="184" t="e">
        <f t="shared" si="31"/>
        <v>#N/A</v>
      </c>
      <c r="U63" s="251" t="e">
        <f t="shared" si="36"/>
        <v>#N/A</v>
      </c>
      <c r="V63" s="247"/>
      <c r="W63" s="157"/>
    </row>
    <row r="64" spans="2:23" x14ac:dyDescent="0.25">
      <c r="B64" s="152">
        <f t="shared" si="37"/>
        <v>0.87499999999999967</v>
      </c>
      <c r="C64" s="177" t="str">
        <f t="shared" si="32"/>
        <v>YES</v>
      </c>
      <c r="D64" s="301" t="e">
        <f>Volumes!BZ58</f>
        <v>#N/A</v>
      </c>
      <c r="E64" s="178" t="e">
        <f t="shared" si="38"/>
        <v>#N/A</v>
      </c>
      <c r="F64" s="350" t="e">
        <f t="shared" si="20"/>
        <v>#N/A</v>
      </c>
      <c r="G64" s="350" t="e">
        <f t="shared" si="39"/>
        <v>#N/A</v>
      </c>
      <c r="H64" s="350" t="e">
        <f t="shared" si="21"/>
        <v>#N/A</v>
      </c>
      <c r="I64" s="350" t="e">
        <f t="shared" si="40"/>
        <v>#N/A</v>
      </c>
      <c r="J64" s="577" t="e">
        <f t="shared" si="22"/>
        <v>#N/A</v>
      </c>
      <c r="K64" s="351" t="e">
        <f t="shared" si="41"/>
        <v>#N/A</v>
      </c>
      <c r="L64" s="269" t="e">
        <f t="shared" si="35"/>
        <v>#N/A</v>
      </c>
      <c r="M64" s="584" t="e">
        <f t="shared" si="24"/>
        <v>#N/A</v>
      </c>
      <c r="N64" s="584" t="e">
        <f t="shared" si="25"/>
        <v>#N/A</v>
      </c>
      <c r="O64" s="270" t="e">
        <f t="shared" si="26"/>
        <v>#N/A</v>
      </c>
      <c r="P64" s="274" t="e">
        <f t="shared" si="27"/>
        <v>#N/A</v>
      </c>
      <c r="Q64" s="133" t="e">
        <f t="shared" si="28"/>
        <v>#N/A</v>
      </c>
      <c r="R64" s="352" t="e">
        <f t="shared" si="29"/>
        <v>#N/A</v>
      </c>
      <c r="S64" s="352" t="e">
        <f t="shared" si="30"/>
        <v>#N/A</v>
      </c>
      <c r="T64" s="184" t="e">
        <f t="shared" si="31"/>
        <v>#N/A</v>
      </c>
      <c r="U64" s="251" t="e">
        <f t="shared" si="36"/>
        <v>#N/A</v>
      </c>
      <c r="V64" s="247"/>
      <c r="W64" s="157"/>
    </row>
    <row r="65" spans="2:23" x14ac:dyDescent="0.25">
      <c r="B65" s="152">
        <f t="shared" si="37"/>
        <v>0.9166666666666663</v>
      </c>
      <c r="C65" s="177" t="str">
        <f t="shared" si="32"/>
        <v>YES</v>
      </c>
      <c r="D65" s="301" t="e">
        <f>Volumes!BZ59</f>
        <v>#N/A</v>
      </c>
      <c r="E65" s="178" t="e">
        <f t="shared" si="38"/>
        <v>#N/A</v>
      </c>
      <c r="F65" s="350" t="e">
        <f t="shared" si="20"/>
        <v>#N/A</v>
      </c>
      <c r="G65" s="350" t="e">
        <f t="shared" si="39"/>
        <v>#N/A</v>
      </c>
      <c r="H65" s="350" t="e">
        <f t="shared" si="21"/>
        <v>#N/A</v>
      </c>
      <c r="I65" s="350" t="e">
        <f t="shared" si="40"/>
        <v>#N/A</v>
      </c>
      <c r="J65" s="577" t="e">
        <f t="shared" si="22"/>
        <v>#N/A</v>
      </c>
      <c r="K65" s="351" t="e">
        <f t="shared" si="41"/>
        <v>#N/A</v>
      </c>
      <c r="L65" s="269" t="e">
        <f t="shared" si="35"/>
        <v>#N/A</v>
      </c>
      <c r="M65" s="584" t="e">
        <f t="shared" si="24"/>
        <v>#N/A</v>
      </c>
      <c r="N65" s="584" t="e">
        <f t="shared" si="25"/>
        <v>#N/A</v>
      </c>
      <c r="O65" s="270" t="e">
        <f t="shared" si="26"/>
        <v>#N/A</v>
      </c>
      <c r="P65" s="274" t="e">
        <f t="shared" si="27"/>
        <v>#N/A</v>
      </c>
      <c r="Q65" s="133" t="e">
        <f t="shared" si="28"/>
        <v>#N/A</v>
      </c>
      <c r="R65" s="352" t="e">
        <f t="shared" si="29"/>
        <v>#N/A</v>
      </c>
      <c r="S65" s="352" t="e">
        <f t="shared" si="30"/>
        <v>#N/A</v>
      </c>
      <c r="T65" s="184" t="e">
        <f t="shared" si="31"/>
        <v>#N/A</v>
      </c>
      <c r="U65" s="251" t="e">
        <f t="shared" si="36"/>
        <v>#N/A</v>
      </c>
      <c r="V65" s="247"/>
      <c r="W65" s="157"/>
    </row>
    <row r="66" spans="2:23" x14ac:dyDescent="0.25">
      <c r="B66" s="152">
        <f t="shared" si="37"/>
        <v>0.95833333333333293</v>
      </c>
      <c r="C66" s="177" t="str">
        <f t="shared" si="32"/>
        <v>YES</v>
      </c>
      <c r="D66" s="301" t="e">
        <f>Volumes!BZ60</f>
        <v>#N/A</v>
      </c>
      <c r="E66" s="178" t="e">
        <f t="shared" si="38"/>
        <v>#N/A</v>
      </c>
      <c r="F66" s="350" t="e">
        <f t="shared" si="20"/>
        <v>#N/A</v>
      </c>
      <c r="G66" s="350" t="e">
        <f t="shared" si="39"/>
        <v>#N/A</v>
      </c>
      <c r="H66" s="350" t="e">
        <f t="shared" si="21"/>
        <v>#N/A</v>
      </c>
      <c r="I66" s="350" t="e">
        <f t="shared" si="40"/>
        <v>#N/A</v>
      </c>
      <c r="J66" s="577" t="e">
        <f t="shared" si="22"/>
        <v>#N/A</v>
      </c>
      <c r="K66" s="351" t="e">
        <f t="shared" si="41"/>
        <v>#N/A</v>
      </c>
      <c r="L66" s="269" t="e">
        <f t="shared" si="35"/>
        <v>#N/A</v>
      </c>
      <c r="M66" s="584" t="e">
        <f t="shared" si="24"/>
        <v>#N/A</v>
      </c>
      <c r="N66" s="584" t="e">
        <f t="shared" si="25"/>
        <v>#N/A</v>
      </c>
      <c r="O66" s="270" t="e">
        <f t="shared" si="26"/>
        <v>#N/A</v>
      </c>
      <c r="P66" s="274" t="e">
        <f t="shared" si="27"/>
        <v>#N/A</v>
      </c>
      <c r="Q66" s="133" t="e">
        <f t="shared" si="28"/>
        <v>#N/A</v>
      </c>
      <c r="R66" s="352" t="e">
        <f t="shared" si="29"/>
        <v>#N/A</v>
      </c>
      <c r="S66" s="352" t="e">
        <f t="shared" si="30"/>
        <v>#N/A</v>
      </c>
      <c r="T66" s="184" t="e">
        <f t="shared" si="31"/>
        <v>#N/A</v>
      </c>
      <c r="U66" s="275" t="e">
        <f t="shared" si="36"/>
        <v>#N/A</v>
      </c>
      <c r="V66" s="247"/>
      <c r="W66" s="157"/>
    </row>
    <row r="67" spans="2:23" s="35" customFormat="1" x14ac:dyDescent="0.25">
      <c r="B67" s="557"/>
      <c r="C67" s="59"/>
      <c r="D67" s="556"/>
      <c r="E67" s="556"/>
      <c r="F67" s="556"/>
      <c r="G67" s="556"/>
      <c r="H67" s="556"/>
      <c r="I67" s="556"/>
      <c r="J67" s="575"/>
      <c r="K67" s="558"/>
      <c r="L67" s="559"/>
      <c r="M67" s="554"/>
      <c r="N67" s="555"/>
      <c r="O67" s="555"/>
      <c r="P67" s="555"/>
      <c r="Q67" s="555"/>
      <c r="R67" s="182"/>
      <c r="S67" s="389" t="s">
        <v>1189</v>
      </c>
      <c r="T67" s="243" t="e">
        <f>IF(SUM(I43:I66)&gt;0,"Yes","No")</f>
        <v>#N/A</v>
      </c>
      <c r="U67" s="390"/>
      <c r="V67" s="553"/>
      <c r="W67" s="553"/>
    </row>
    <row r="68" spans="2:23" x14ac:dyDescent="0.25">
      <c r="B68" s="1170" t="s">
        <v>1203</v>
      </c>
      <c r="C68" s="1170"/>
      <c r="D68" s="1170"/>
      <c r="E68" s="1170"/>
      <c r="F68" s="1170"/>
      <c r="G68" s="1170"/>
      <c r="H68" s="1170"/>
      <c r="I68" s="1170"/>
      <c r="J68" s="1170"/>
      <c r="K68" s="1170"/>
      <c r="L68" s="1171"/>
      <c r="M68" s="376"/>
      <c r="N68" s="377"/>
      <c r="O68" s="377"/>
      <c r="P68" s="377"/>
      <c r="Q68" s="377"/>
      <c r="R68" s="182"/>
      <c r="S68" s="389" t="s">
        <v>888</v>
      </c>
      <c r="T68" s="243" t="e">
        <f>SUMIF(C43:C66,"YES",(L43:L66))+SUMIF(C43:C66,"YES",(O43:O66))+SUMIF(C43:C66,"YES",(N43:N66))+SUMIF(C43:C66,"YES",(M43:M66))</f>
        <v>#N/A</v>
      </c>
      <c r="U68" s="390" t="s">
        <v>884</v>
      </c>
    </row>
    <row r="69" spans="2:23" x14ac:dyDescent="0.25">
      <c r="B69" s="1170"/>
      <c r="C69" s="1170"/>
      <c r="D69" s="1170"/>
      <c r="E69" s="1170"/>
      <c r="F69" s="1170"/>
      <c r="G69" s="1170"/>
      <c r="H69" s="1170"/>
      <c r="I69" s="1170"/>
      <c r="J69" s="1170"/>
      <c r="K69" s="1170"/>
      <c r="L69" s="1171"/>
      <c r="M69" s="376"/>
      <c r="N69" s="377"/>
      <c r="O69" s="377"/>
      <c r="P69" s="377"/>
      <c r="Q69" s="377"/>
      <c r="R69" s="182"/>
      <c r="S69" s="389" t="s">
        <v>889</v>
      </c>
      <c r="T69" s="243" t="e">
        <f>SUMIF(C43:C66,"YES",U43:U66)</f>
        <v>#N/A</v>
      </c>
      <c r="U69" s="390" t="s">
        <v>539</v>
      </c>
    </row>
    <row r="70" spans="2:23" x14ac:dyDescent="0.25">
      <c r="M70" s="376"/>
      <c r="N70" s="377"/>
      <c r="O70" s="377"/>
      <c r="P70" s="377"/>
      <c r="Q70" s="377"/>
      <c r="R70" s="182"/>
      <c r="S70" s="389" t="s">
        <v>890</v>
      </c>
      <c r="T70" s="243" t="e">
        <f>IF(T68&lt;1,0,ROUND(T69/T68,1))</f>
        <v>#N/A</v>
      </c>
      <c r="U70" s="390" t="s">
        <v>648</v>
      </c>
    </row>
  </sheetData>
  <sheetProtection algorithmName="SHA-512" hashValue="qzoB0ZjUcEhXBe4EskLNyoto0RbiuGnm46tBxwYduNOL7cmphwzg8LPwNGrtsIe/3AksV321M3B8M+sWrmEi9A==" saltValue="omrKpuCQ1/4FF4MM4NgLyA==" spinCount="100000" sheet="1" objects="1" scenarios="1"/>
  <mergeCells count="16">
    <mergeCell ref="B68:L69"/>
    <mergeCell ref="L42:O42"/>
    <mergeCell ref="Q42:T42"/>
    <mergeCell ref="F6:H6"/>
    <mergeCell ref="F40:H40"/>
    <mergeCell ref="B40:D40"/>
    <mergeCell ref="L40:O40"/>
    <mergeCell ref="Q40:T40"/>
    <mergeCell ref="B34:L35"/>
    <mergeCell ref="B2:U2"/>
    <mergeCell ref="L6:O6"/>
    <mergeCell ref="L8:O8"/>
    <mergeCell ref="Q6:T6"/>
    <mergeCell ref="Q8:T8"/>
    <mergeCell ref="B6:D6"/>
    <mergeCell ref="B3:U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2:Q72"/>
  <sheetViews>
    <sheetView showGridLines="0" zoomScaleNormal="100" workbookViewId="0"/>
  </sheetViews>
  <sheetFormatPr defaultRowHeight="15" x14ac:dyDescent="0.25"/>
  <cols>
    <col min="6" max="6" width="9.140625" style="35"/>
    <col min="7" max="15" width="9.140625" style="256"/>
  </cols>
  <sheetData>
    <row r="2" spans="2:15" ht="36" customHeight="1" x14ac:dyDescent="0.25">
      <c r="B2" s="1119" t="s">
        <v>373</v>
      </c>
      <c r="C2" s="1119"/>
      <c r="D2" s="1119"/>
      <c r="E2" s="1119"/>
      <c r="F2" s="1119"/>
      <c r="G2" s="1119"/>
      <c r="H2" s="1119"/>
      <c r="I2" s="1119"/>
      <c r="J2" s="1119"/>
      <c r="K2" s="1119"/>
      <c r="L2" s="1119"/>
      <c r="M2" s="1119"/>
      <c r="N2" s="1119"/>
      <c r="O2" s="1119"/>
    </row>
    <row r="3" spans="2:15" ht="24" customHeight="1" x14ac:dyDescent="0.25">
      <c r="B3" s="601" t="s">
        <v>768</v>
      </c>
      <c r="C3" s="601"/>
      <c r="D3" s="601"/>
      <c r="E3" s="601"/>
      <c r="F3" s="601"/>
      <c r="G3" s="601"/>
      <c r="H3" s="601"/>
      <c r="I3" s="601"/>
      <c r="J3" s="601"/>
      <c r="K3" s="601"/>
      <c r="L3" s="601"/>
      <c r="M3" s="601"/>
      <c r="N3" s="601"/>
      <c r="O3" s="601"/>
    </row>
    <row r="5" spans="2:15" s="35" customFormat="1" x14ac:dyDescent="0.25">
      <c r="G5" s="1174" t="s">
        <v>20</v>
      </c>
      <c r="H5" s="780"/>
      <c r="I5" s="780"/>
      <c r="J5" s="1175"/>
      <c r="K5" s="256"/>
      <c r="L5" s="1174" t="s">
        <v>21</v>
      </c>
      <c r="M5" s="780"/>
      <c r="N5" s="780"/>
      <c r="O5" s="1175"/>
    </row>
    <row r="6" spans="2:15" x14ac:dyDescent="0.25">
      <c r="B6" s="295" t="s">
        <v>769</v>
      </c>
      <c r="C6" s="293"/>
      <c r="D6" s="293"/>
      <c r="E6" s="293"/>
      <c r="F6" s="294"/>
      <c r="G6" s="289" t="s">
        <v>203</v>
      </c>
      <c r="H6" s="289" t="s">
        <v>176</v>
      </c>
      <c r="I6" s="289" t="s">
        <v>559</v>
      </c>
      <c r="J6" s="289" t="s">
        <v>558</v>
      </c>
      <c r="K6" s="289"/>
      <c r="L6" s="289" t="s">
        <v>203</v>
      </c>
      <c r="M6" s="289" t="s">
        <v>176</v>
      </c>
      <c r="N6" s="289" t="s">
        <v>559</v>
      </c>
      <c r="O6" s="289" t="s">
        <v>558</v>
      </c>
    </row>
    <row r="7" spans="2:15" x14ac:dyDescent="0.25">
      <c r="B7" s="292" t="s">
        <v>650</v>
      </c>
      <c r="C7" s="17"/>
      <c r="D7" s="17"/>
      <c r="E7" s="17"/>
      <c r="F7" s="297" t="s">
        <v>758</v>
      </c>
      <c r="G7" s="561" t="e">
        <f>ROUND(AddTimeWZPC1/60,5)</f>
        <v>#N/A</v>
      </c>
      <c r="H7" s="562" t="e">
        <f>ROUND(AddTimeWZSU1/60,5)</f>
        <v>#N/A</v>
      </c>
      <c r="I7" s="562" t="e">
        <f>ROUND(AddTimeWZCT1/60,5)</f>
        <v>#N/A</v>
      </c>
      <c r="J7" s="562" t="e">
        <f>ROUND(AddTimeWZRV1/60,5)</f>
        <v>#N/A</v>
      </c>
      <c r="K7" s="230"/>
      <c r="L7" s="562" t="e">
        <f>ROUND(AddTimeWZPC2/60,5)</f>
        <v>#N/A</v>
      </c>
      <c r="M7" s="562" t="e">
        <f>ROUND(AddTimeWZSU2/60,5)</f>
        <v>#N/A</v>
      </c>
      <c r="N7" s="562" t="e">
        <f>ROUND(AddTimeWZCT2/60,5)</f>
        <v>#N/A</v>
      </c>
      <c r="O7" s="562" t="e">
        <f>ROUND(AddTimeWZRV2/60,5)</f>
        <v>#N/A</v>
      </c>
    </row>
    <row r="8" spans="2:15" s="35" customFormat="1" x14ac:dyDescent="0.25">
      <c r="B8" s="292" t="s">
        <v>763</v>
      </c>
      <c r="C8" s="17"/>
      <c r="D8" s="17"/>
      <c r="E8" s="17"/>
      <c r="F8" s="297" t="s">
        <v>758</v>
      </c>
      <c r="G8" s="561">
        <f>ROUND(AddTimeFPC1/60,5)</f>
        <v>0</v>
      </c>
      <c r="H8" s="562">
        <f>ROUND(AddTimeFSU1/60,5)</f>
        <v>0</v>
      </c>
      <c r="I8" s="562">
        <f>ROUND(AddTimeFCT1/60,5)</f>
        <v>0</v>
      </c>
      <c r="J8" s="562">
        <f>ROUND(AddTimeFRV1/60,5)</f>
        <v>0</v>
      </c>
      <c r="K8" s="230"/>
      <c r="L8" s="562">
        <f>ROUND(AddTimeFPC2/60,5)</f>
        <v>0</v>
      </c>
      <c r="M8" s="562">
        <f>ROUND(AddTimeFSU2/60,5)</f>
        <v>0</v>
      </c>
      <c r="N8" s="562">
        <f>ROUND(AddTimeFCT2/60,5)</f>
        <v>0</v>
      </c>
      <c r="O8" s="562">
        <f>ROUND(AddTimeFRV2/60,5)</f>
        <v>0</v>
      </c>
    </row>
    <row r="9" spans="2:15" x14ac:dyDescent="0.25">
      <c r="B9" s="292" t="s">
        <v>651</v>
      </c>
      <c r="C9" s="17"/>
      <c r="D9" s="17"/>
      <c r="E9" s="17"/>
      <c r="F9" s="297" t="s">
        <v>758</v>
      </c>
      <c r="G9" s="312" t="s">
        <v>270</v>
      </c>
      <c r="H9" s="309" t="s">
        <v>270</v>
      </c>
      <c r="I9" s="309" t="s">
        <v>270</v>
      </c>
      <c r="J9" s="309" t="s">
        <v>270</v>
      </c>
      <c r="K9" s="230"/>
      <c r="L9" s="309" t="s">
        <v>270</v>
      </c>
      <c r="M9" s="309" t="s">
        <v>270</v>
      </c>
      <c r="N9" s="309" t="s">
        <v>270</v>
      </c>
      <c r="O9" s="309" t="s">
        <v>270</v>
      </c>
    </row>
    <row r="10" spans="2:15" x14ac:dyDescent="0.25">
      <c r="B10" s="292" t="s">
        <v>652</v>
      </c>
      <c r="C10" s="17"/>
      <c r="D10" s="17"/>
      <c r="E10" s="17"/>
      <c r="F10" s="297" t="s">
        <v>758</v>
      </c>
      <c r="G10" s="561" t="e">
        <f>ROUND(AddTimeD11/60,5)</f>
        <v>#N/A</v>
      </c>
      <c r="H10" s="562" t="e">
        <f>ROUND(AddTimeD11/60,5)</f>
        <v>#N/A</v>
      </c>
      <c r="I10" s="562" t="e">
        <f>ROUND(AddTimeD11/60,5)</f>
        <v>#N/A</v>
      </c>
      <c r="J10" s="562" t="e">
        <f>ROUND(AddTimeD11/60,5)</f>
        <v>#N/A</v>
      </c>
      <c r="K10" s="230"/>
      <c r="L10" s="562" t="e">
        <f>ROUND(AddTimeD12/60,5)</f>
        <v>#N/A</v>
      </c>
      <c r="M10" s="562" t="e">
        <f>ROUND(AddTimeD12/60,5)</f>
        <v>#N/A</v>
      </c>
      <c r="N10" s="562" t="e">
        <f>ROUND(AddTimeD12/60,5)</f>
        <v>#N/A</v>
      </c>
      <c r="O10" s="562" t="e">
        <f>ROUND(AddTimeD12/60,5)</f>
        <v>#N/A</v>
      </c>
    </row>
    <row r="11" spans="2:15" x14ac:dyDescent="0.25">
      <c r="B11" s="292" t="s">
        <v>653</v>
      </c>
      <c r="C11" s="17"/>
      <c r="D11" s="17"/>
      <c r="E11" s="17"/>
      <c r="F11" s="297" t="s">
        <v>758</v>
      </c>
      <c r="G11" s="561" t="e">
        <f>ROUND(AddTimeD21/60,5)</f>
        <v>#N/A</v>
      </c>
      <c r="H11" s="562" t="e">
        <f>ROUND(AddTimeD21/60,5)</f>
        <v>#N/A</v>
      </c>
      <c r="I11" s="562" t="e">
        <f>ROUND(AddTimeD21/60,5)</f>
        <v>#N/A</v>
      </c>
      <c r="J11" s="562" t="e">
        <f>ROUND(AddTimeD21/60,5)</f>
        <v>#N/A</v>
      </c>
      <c r="K11" s="230"/>
      <c r="L11" s="562" t="e">
        <f>ROUND(AddTimeD22/60,5)</f>
        <v>#N/A</v>
      </c>
      <c r="M11" s="562" t="e">
        <f>ROUND(AddTimeD22/60,5)</f>
        <v>#N/A</v>
      </c>
      <c r="N11" s="562" t="e">
        <f>ROUND(AddTimeD22/60,5)</f>
        <v>#N/A</v>
      </c>
      <c r="O11" s="562" t="e">
        <f>ROUND(AddTimeD22/60,5)</f>
        <v>#N/A</v>
      </c>
    </row>
    <row r="12" spans="2:15" x14ac:dyDescent="0.25">
      <c r="B12" s="292" t="s">
        <v>654</v>
      </c>
      <c r="C12" s="17"/>
      <c r="D12" s="17"/>
      <c r="E12" s="17"/>
      <c r="F12" s="297" t="s">
        <v>758</v>
      </c>
      <c r="G12" s="561" t="e">
        <f>ROUND(AddTimeD31/60,5)</f>
        <v>#N/A</v>
      </c>
      <c r="H12" s="562" t="e">
        <f>ROUND(AddTimeD31/60,5)</f>
        <v>#N/A</v>
      </c>
      <c r="I12" s="562" t="e">
        <f>ROUND(AddTimeD31/60,5)</f>
        <v>#N/A</v>
      </c>
      <c r="J12" s="562" t="e">
        <f>ROUND(AddTimeD31/60,5)</f>
        <v>#N/A</v>
      </c>
      <c r="K12" s="230"/>
      <c r="L12" s="562" t="e">
        <f>ROUND(AddTimeD32/60,5)</f>
        <v>#N/A</v>
      </c>
      <c r="M12" s="562" t="e">
        <f>ROUND(AddTimeD32/60,5)</f>
        <v>#N/A</v>
      </c>
      <c r="N12" s="562" t="e">
        <f>ROUND(AddTimeD32/60,5)</f>
        <v>#N/A</v>
      </c>
      <c r="O12" s="562" t="e">
        <f>ROUND(AddTimeD32/60,5)</f>
        <v>#N/A</v>
      </c>
    </row>
    <row r="13" spans="2:15" x14ac:dyDescent="0.25">
      <c r="B13" s="295" t="s">
        <v>770</v>
      </c>
      <c r="C13" s="293"/>
      <c r="D13" s="293"/>
      <c r="E13" s="293"/>
      <c r="F13" s="293"/>
      <c r="G13" s="287"/>
      <c r="H13" s="287"/>
      <c r="I13" s="287"/>
      <c r="J13" s="287"/>
      <c r="K13" s="287"/>
      <c r="L13" s="287"/>
      <c r="M13" s="287"/>
      <c r="N13" s="287"/>
      <c r="O13" s="286"/>
    </row>
    <row r="14" spans="2:15" x14ac:dyDescent="0.25">
      <c r="B14" s="292" t="s">
        <v>655</v>
      </c>
      <c r="C14" s="17"/>
      <c r="D14" s="17"/>
      <c r="E14" s="17"/>
      <c r="F14" s="297" t="s">
        <v>89</v>
      </c>
      <c r="G14" s="288">
        <f>AddDistD11</f>
        <v>0</v>
      </c>
      <c r="H14" s="290">
        <f>AddDistD11</f>
        <v>0</v>
      </c>
      <c r="I14" s="290">
        <f>AddDistD11</f>
        <v>0</v>
      </c>
      <c r="J14" s="290">
        <f>AddDistD11</f>
        <v>0</v>
      </c>
      <c r="K14" s="230"/>
      <c r="L14" s="290">
        <f>AddDistD12</f>
        <v>0</v>
      </c>
      <c r="M14" s="290">
        <f>AddDistD12</f>
        <v>0</v>
      </c>
      <c r="N14" s="290">
        <f>AddDistD12</f>
        <v>0</v>
      </c>
      <c r="O14" s="290">
        <f>AddDistD12</f>
        <v>0</v>
      </c>
    </row>
    <row r="15" spans="2:15" x14ac:dyDescent="0.25">
      <c r="B15" s="292" t="s">
        <v>656</v>
      </c>
      <c r="C15" s="17"/>
      <c r="D15" s="17"/>
      <c r="E15" s="17"/>
      <c r="F15" s="297" t="s">
        <v>89</v>
      </c>
      <c r="G15" s="288">
        <f>AddDistD21</f>
        <v>0</v>
      </c>
      <c r="H15" s="290">
        <f>AddDistD21</f>
        <v>0</v>
      </c>
      <c r="I15" s="290">
        <f>AddDistD21</f>
        <v>0</v>
      </c>
      <c r="J15" s="290">
        <f>AddDistD21</f>
        <v>0</v>
      </c>
      <c r="K15" s="230"/>
      <c r="L15" s="290">
        <f>AddDistD22</f>
        <v>0</v>
      </c>
      <c r="M15" s="290">
        <f>AddDistD22</f>
        <v>0</v>
      </c>
      <c r="N15" s="290">
        <f>AddDistD22</f>
        <v>0</v>
      </c>
      <c r="O15" s="290">
        <f>AddDistD22</f>
        <v>0</v>
      </c>
    </row>
    <row r="16" spans="2:15" x14ac:dyDescent="0.25">
      <c r="B16" s="292" t="s">
        <v>657</v>
      </c>
      <c r="C16" s="17"/>
      <c r="D16" s="17"/>
      <c r="E16" s="17"/>
      <c r="F16" s="297" t="s">
        <v>89</v>
      </c>
      <c r="G16" s="288">
        <f>AddDistD31</f>
        <v>0</v>
      </c>
      <c r="H16" s="290">
        <f>AddDistD31</f>
        <v>0</v>
      </c>
      <c r="I16" s="290">
        <f>AddDistD31</f>
        <v>0</v>
      </c>
      <c r="J16" s="290">
        <f>AddDistD31</f>
        <v>0</v>
      </c>
      <c r="K16" s="230"/>
      <c r="L16" s="290">
        <f>AddDistD32</f>
        <v>0</v>
      </c>
      <c r="M16" s="290">
        <f>AddDistD32</f>
        <v>0</v>
      </c>
      <c r="N16" s="290">
        <f>AddDistD32</f>
        <v>0</v>
      </c>
      <c r="O16" s="290">
        <f>AddDistD32</f>
        <v>0</v>
      </c>
    </row>
    <row r="17" spans="2:17" x14ac:dyDescent="0.25">
      <c r="B17" s="295" t="s">
        <v>771</v>
      </c>
      <c r="C17" s="293"/>
      <c r="D17" s="293"/>
      <c r="E17" s="293"/>
      <c r="F17" s="293"/>
      <c r="G17" s="287"/>
      <c r="H17" s="287"/>
      <c r="I17" s="287"/>
      <c r="J17" s="287"/>
      <c r="K17" s="287"/>
      <c r="L17" s="287"/>
      <c r="M17" s="287"/>
      <c r="N17" s="287"/>
      <c r="O17" s="286"/>
    </row>
    <row r="18" spans="2:17" s="35" customFormat="1" x14ac:dyDescent="0.25">
      <c r="B18" s="292" t="s">
        <v>325</v>
      </c>
      <c r="C18" s="17"/>
      <c r="D18" s="17"/>
      <c r="E18" s="17"/>
      <c r="F18" s="297" t="s">
        <v>695</v>
      </c>
      <c r="G18" s="288" t="e">
        <f>HourlyCostPC</f>
        <v>#N/A</v>
      </c>
      <c r="H18" s="290">
        <f>HourlyCostSU</f>
        <v>32.239999999999995</v>
      </c>
      <c r="I18" s="290">
        <f>HourlyCostCT</f>
        <v>53.49</v>
      </c>
      <c r="J18" s="290" t="e">
        <f>HourlyCostRV</f>
        <v>#N/A</v>
      </c>
      <c r="K18" s="230"/>
      <c r="L18" s="290" t="e">
        <f>HourlyCostPC</f>
        <v>#N/A</v>
      </c>
      <c r="M18" s="290">
        <f>HourlyCostSU</f>
        <v>32.239999999999995</v>
      </c>
      <c r="N18" s="290">
        <f>HourlyCostCT</f>
        <v>53.49</v>
      </c>
      <c r="O18" s="290" t="e">
        <f>HourlyCostRV</f>
        <v>#N/A</v>
      </c>
    </row>
    <row r="19" spans="2:17" s="35" customFormat="1" x14ac:dyDescent="0.25">
      <c r="B19" s="292" t="s">
        <v>757</v>
      </c>
      <c r="C19" s="17"/>
      <c r="D19" s="17"/>
      <c r="E19" s="17"/>
      <c r="F19" s="297" t="s">
        <v>695</v>
      </c>
      <c r="G19" s="288">
        <f>IdlingPC</f>
        <v>1.76</v>
      </c>
      <c r="H19" s="290">
        <f>IdlingSU</f>
        <v>8.8000000000000007</v>
      </c>
      <c r="I19" s="290">
        <f>IdlingCT</f>
        <v>8.8000000000000007</v>
      </c>
      <c r="J19" s="290">
        <f>IdlingRV</f>
        <v>7.55</v>
      </c>
      <c r="K19" s="230"/>
      <c r="L19" s="290">
        <f>IdlingPC</f>
        <v>1.76</v>
      </c>
      <c r="M19" s="290">
        <f>IdlingSU</f>
        <v>8.8000000000000007</v>
      </c>
      <c r="N19" s="290">
        <f>IdlingCT</f>
        <v>8.8000000000000007</v>
      </c>
      <c r="O19" s="290">
        <f>IdlingRV</f>
        <v>7.55</v>
      </c>
    </row>
    <row r="20" spans="2:17" s="35" customFormat="1" x14ac:dyDescent="0.25">
      <c r="B20" s="292" t="s">
        <v>756</v>
      </c>
      <c r="C20" s="17"/>
      <c r="D20" s="17"/>
      <c r="E20" s="17"/>
      <c r="F20" s="297" t="s">
        <v>695</v>
      </c>
      <c r="G20" s="288" t="e">
        <f>OperatingPC1</f>
        <v>#N/A</v>
      </c>
      <c r="H20" s="290" t="e">
        <f>OperatingSU1</f>
        <v>#N/A</v>
      </c>
      <c r="I20" s="290" t="e">
        <f>OperatingCT1</f>
        <v>#N/A</v>
      </c>
      <c r="J20" s="290" t="e">
        <f>OperatingRV1</f>
        <v>#N/A</v>
      </c>
      <c r="K20" s="230"/>
      <c r="L20" s="290" t="e">
        <f>OperatingPC2</f>
        <v>#N/A</v>
      </c>
      <c r="M20" s="290" t="e">
        <f>OperatingSU2</f>
        <v>#N/A</v>
      </c>
      <c r="N20" s="290" t="e">
        <f>OperatingCT2</f>
        <v>#N/A</v>
      </c>
      <c r="O20" s="290" t="e">
        <f>OperatingRV2</f>
        <v>#N/A</v>
      </c>
    </row>
    <row r="21" spans="2:17" s="35" customFormat="1" x14ac:dyDescent="0.25">
      <c r="B21" s="292" t="s">
        <v>756</v>
      </c>
      <c r="C21" s="17"/>
      <c r="D21" s="17"/>
      <c r="E21" s="17"/>
      <c r="F21" s="297" t="s">
        <v>751</v>
      </c>
      <c r="G21" s="288">
        <f>VOCpc</f>
        <v>0.43</v>
      </c>
      <c r="H21" s="290">
        <f>VOCsu</f>
        <v>0.62</v>
      </c>
      <c r="I21" s="290">
        <f>VOCct</f>
        <v>0.62</v>
      </c>
      <c r="J21" s="290">
        <f>VOCrv</f>
        <v>0.62</v>
      </c>
      <c r="K21" s="230"/>
      <c r="L21" s="290">
        <f>VOCpc</f>
        <v>0.43</v>
      </c>
      <c r="M21" s="290">
        <f>VOCsu</f>
        <v>0.62</v>
      </c>
      <c r="N21" s="290">
        <f>VOCct</f>
        <v>0.62</v>
      </c>
      <c r="O21" s="290">
        <f>VOCrv</f>
        <v>0.62</v>
      </c>
    </row>
    <row r="22" spans="2:17" s="35" customFormat="1" x14ac:dyDescent="0.25">
      <c r="B22" s="295" t="s">
        <v>772</v>
      </c>
      <c r="C22" s="293"/>
      <c r="D22" s="293"/>
      <c r="E22" s="293"/>
      <c r="F22" s="293"/>
      <c r="G22" s="287"/>
      <c r="H22" s="287"/>
      <c r="I22" s="287"/>
      <c r="J22" s="287"/>
      <c r="K22" s="287"/>
      <c r="L22" s="287"/>
      <c r="M22" s="287"/>
      <c r="N22" s="287"/>
      <c r="O22" s="286"/>
    </row>
    <row r="23" spans="2:17" x14ac:dyDescent="0.25">
      <c r="B23" s="292" t="s">
        <v>659</v>
      </c>
      <c r="C23" s="17"/>
      <c r="D23" s="17"/>
      <c r="E23" s="17"/>
      <c r="F23" s="297" t="s">
        <v>764</v>
      </c>
      <c r="G23" s="560" t="e">
        <f t="shared" ref="G23:J24" si="0">ROUND(G7*G$18,2)</f>
        <v>#N/A</v>
      </c>
      <c r="H23" s="560" t="e">
        <f t="shared" si="0"/>
        <v>#N/A</v>
      </c>
      <c r="I23" s="560" t="e">
        <f t="shared" si="0"/>
        <v>#N/A</v>
      </c>
      <c r="J23" s="560" t="e">
        <f t="shared" si="0"/>
        <v>#N/A</v>
      </c>
      <c r="K23" s="230"/>
      <c r="L23" s="560" t="e">
        <f t="shared" ref="L23:O24" si="1">ROUND(L7*L$18,2)</f>
        <v>#N/A</v>
      </c>
      <c r="M23" s="560" t="e">
        <f t="shared" si="1"/>
        <v>#N/A</v>
      </c>
      <c r="N23" s="560" t="e">
        <f t="shared" si="1"/>
        <v>#N/A</v>
      </c>
      <c r="O23" s="560" t="e">
        <f t="shared" si="1"/>
        <v>#N/A</v>
      </c>
    </row>
    <row r="24" spans="2:17" x14ac:dyDescent="0.25">
      <c r="B24" s="292" t="s">
        <v>762</v>
      </c>
      <c r="C24" s="17"/>
      <c r="D24" s="17"/>
      <c r="E24" s="17"/>
      <c r="F24" s="297" t="s">
        <v>764</v>
      </c>
      <c r="G24" s="560" t="e">
        <f t="shared" si="0"/>
        <v>#N/A</v>
      </c>
      <c r="H24" s="560">
        <f t="shared" si="0"/>
        <v>0</v>
      </c>
      <c r="I24" s="560">
        <f t="shared" si="0"/>
        <v>0</v>
      </c>
      <c r="J24" s="560" t="e">
        <f t="shared" si="0"/>
        <v>#N/A</v>
      </c>
      <c r="K24" s="230"/>
      <c r="L24" s="560" t="e">
        <f t="shared" si="1"/>
        <v>#N/A</v>
      </c>
      <c r="M24" s="560">
        <f t="shared" si="1"/>
        <v>0</v>
      </c>
      <c r="N24" s="560">
        <f t="shared" si="1"/>
        <v>0</v>
      </c>
      <c r="O24" s="560" t="e">
        <f t="shared" si="1"/>
        <v>#N/A</v>
      </c>
    </row>
    <row r="25" spans="2:17" x14ac:dyDescent="0.25">
      <c r="B25" s="292" t="s">
        <v>660</v>
      </c>
      <c r="C25" s="17"/>
      <c r="D25" s="17"/>
      <c r="E25" s="17"/>
      <c r="F25" s="297" t="s">
        <v>695</v>
      </c>
      <c r="G25" s="560" t="e">
        <f>IF(Queuing!$T$33="Yes",G18,0)</f>
        <v>#N/A</v>
      </c>
      <c r="H25" s="560" t="e">
        <f>IF(Queuing!$T$33="Yes",H18,0)</f>
        <v>#N/A</v>
      </c>
      <c r="I25" s="560" t="e">
        <f>IF(Queuing!$T$33="Yes",I18,0)</f>
        <v>#N/A</v>
      </c>
      <c r="J25" s="560" t="e">
        <f>IF(Queuing!$T$33="Yes",J18,0)</f>
        <v>#N/A</v>
      </c>
      <c r="K25" s="230"/>
      <c r="L25" s="560" t="e">
        <f>IF(Queuing!$T$67="Yes",L18,0)</f>
        <v>#N/A</v>
      </c>
      <c r="M25" s="560" t="e">
        <f>IF(Queuing!$T$67="Yes",M18,0)</f>
        <v>#N/A</v>
      </c>
      <c r="N25" s="560" t="e">
        <f>IF(Queuing!$T$67="Yes",N18,0)</f>
        <v>#N/A</v>
      </c>
      <c r="O25" s="560" t="e">
        <f>IF(Queuing!$T$67="Yes",O18,0)</f>
        <v>#N/A</v>
      </c>
    </row>
    <row r="26" spans="2:17" x14ac:dyDescent="0.25">
      <c r="B26" s="292" t="s">
        <v>661</v>
      </c>
      <c r="C26" s="17"/>
      <c r="D26" s="17"/>
      <c r="E26" s="17"/>
      <c r="F26" s="297" t="s">
        <v>764</v>
      </c>
      <c r="G26" s="560" t="e">
        <f t="shared" ref="G26:J28" si="2">ROUND(G10*G$18,2)</f>
        <v>#N/A</v>
      </c>
      <c r="H26" s="560" t="e">
        <f t="shared" si="2"/>
        <v>#N/A</v>
      </c>
      <c r="I26" s="560" t="e">
        <f t="shared" si="2"/>
        <v>#N/A</v>
      </c>
      <c r="J26" s="560" t="e">
        <f t="shared" si="2"/>
        <v>#N/A</v>
      </c>
      <c r="K26" s="230"/>
      <c r="L26" s="560" t="e">
        <f t="shared" ref="L26:O28" si="3">ROUND(L10*L$18,2)</f>
        <v>#N/A</v>
      </c>
      <c r="M26" s="560" t="e">
        <f t="shared" si="3"/>
        <v>#N/A</v>
      </c>
      <c r="N26" s="560" t="e">
        <f t="shared" si="3"/>
        <v>#N/A</v>
      </c>
      <c r="O26" s="560" t="e">
        <f t="shared" si="3"/>
        <v>#N/A</v>
      </c>
    </row>
    <row r="27" spans="2:17" x14ac:dyDescent="0.25">
      <c r="B27" s="292" t="s">
        <v>662</v>
      </c>
      <c r="C27" s="17"/>
      <c r="D27" s="17"/>
      <c r="E27" s="17"/>
      <c r="F27" s="297" t="s">
        <v>764</v>
      </c>
      <c r="G27" s="560" t="e">
        <f t="shared" si="2"/>
        <v>#N/A</v>
      </c>
      <c r="H27" s="560" t="e">
        <f t="shared" si="2"/>
        <v>#N/A</v>
      </c>
      <c r="I27" s="560" t="e">
        <f t="shared" si="2"/>
        <v>#N/A</v>
      </c>
      <c r="J27" s="560" t="e">
        <f t="shared" si="2"/>
        <v>#N/A</v>
      </c>
      <c r="K27" s="230"/>
      <c r="L27" s="560" t="e">
        <f t="shared" si="3"/>
        <v>#N/A</v>
      </c>
      <c r="M27" s="560" t="e">
        <f t="shared" si="3"/>
        <v>#N/A</v>
      </c>
      <c r="N27" s="560" t="e">
        <f t="shared" si="3"/>
        <v>#N/A</v>
      </c>
      <c r="O27" s="560" t="e">
        <f t="shared" si="3"/>
        <v>#N/A</v>
      </c>
    </row>
    <row r="28" spans="2:17" x14ac:dyDescent="0.25">
      <c r="B28" s="292" t="s">
        <v>663</v>
      </c>
      <c r="C28" s="17"/>
      <c r="D28" s="17"/>
      <c r="E28" s="17"/>
      <c r="F28" s="297" t="s">
        <v>764</v>
      </c>
      <c r="G28" s="560" t="e">
        <f t="shared" si="2"/>
        <v>#N/A</v>
      </c>
      <c r="H28" s="560" t="e">
        <f t="shared" si="2"/>
        <v>#N/A</v>
      </c>
      <c r="I28" s="560" t="e">
        <f t="shared" si="2"/>
        <v>#N/A</v>
      </c>
      <c r="J28" s="560" t="e">
        <f t="shared" si="2"/>
        <v>#N/A</v>
      </c>
      <c r="K28" s="230"/>
      <c r="L28" s="560" t="e">
        <f t="shared" si="3"/>
        <v>#N/A</v>
      </c>
      <c r="M28" s="560" t="e">
        <f t="shared" si="3"/>
        <v>#N/A</v>
      </c>
      <c r="N28" s="560" t="e">
        <f t="shared" si="3"/>
        <v>#N/A</v>
      </c>
      <c r="O28" s="560" t="e">
        <f t="shared" si="3"/>
        <v>#N/A</v>
      </c>
    </row>
    <row r="29" spans="2:17" x14ac:dyDescent="0.25">
      <c r="B29" s="295" t="s">
        <v>773</v>
      </c>
      <c r="C29" s="293"/>
      <c r="D29" s="293"/>
      <c r="E29" s="293"/>
      <c r="F29" s="293"/>
      <c r="G29" s="287"/>
      <c r="H29" s="287"/>
      <c r="I29" s="287"/>
      <c r="J29" s="287"/>
      <c r="K29" s="287"/>
      <c r="L29" s="287"/>
      <c r="M29" s="287"/>
      <c r="N29" s="287"/>
      <c r="O29" s="286"/>
    </row>
    <row r="30" spans="2:17" x14ac:dyDescent="0.25">
      <c r="B30" s="292" t="s">
        <v>658</v>
      </c>
      <c r="C30" s="17"/>
      <c r="D30" s="17"/>
      <c r="E30" s="17"/>
      <c r="F30" s="297" t="s">
        <v>764</v>
      </c>
      <c r="G30" s="560" t="e">
        <f t="shared" ref="G30:J31" si="4">ROUND(G7*G$20,2)</f>
        <v>#N/A</v>
      </c>
      <c r="H30" s="560" t="e">
        <f t="shared" si="4"/>
        <v>#N/A</v>
      </c>
      <c r="I30" s="560" t="e">
        <f t="shared" si="4"/>
        <v>#N/A</v>
      </c>
      <c r="J30" s="560" t="e">
        <f t="shared" si="4"/>
        <v>#N/A</v>
      </c>
      <c r="K30" s="230"/>
      <c r="L30" s="560" t="e">
        <f t="shared" ref="L30:O31" si="5">ROUND(L7*L$20,2)</f>
        <v>#N/A</v>
      </c>
      <c r="M30" s="560" t="e">
        <f t="shared" si="5"/>
        <v>#N/A</v>
      </c>
      <c r="N30" s="560" t="e">
        <f t="shared" si="5"/>
        <v>#N/A</v>
      </c>
      <c r="O30" s="560" t="e">
        <f t="shared" si="5"/>
        <v>#N/A</v>
      </c>
    </row>
    <row r="31" spans="2:17" s="35" customFormat="1" x14ac:dyDescent="0.25">
      <c r="B31" s="292" t="s">
        <v>761</v>
      </c>
      <c r="C31" s="17"/>
      <c r="D31" s="17"/>
      <c r="E31" s="17"/>
      <c r="F31" s="297" t="s">
        <v>764</v>
      </c>
      <c r="G31" s="560" t="e">
        <f t="shared" si="4"/>
        <v>#N/A</v>
      </c>
      <c r="H31" s="560" t="e">
        <f t="shared" si="4"/>
        <v>#N/A</v>
      </c>
      <c r="I31" s="560" t="e">
        <f t="shared" si="4"/>
        <v>#N/A</v>
      </c>
      <c r="J31" s="560" t="e">
        <f t="shared" si="4"/>
        <v>#N/A</v>
      </c>
      <c r="K31" s="230"/>
      <c r="L31" s="560" t="e">
        <f t="shared" si="5"/>
        <v>#N/A</v>
      </c>
      <c r="M31" s="560" t="e">
        <f t="shared" si="5"/>
        <v>#N/A</v>
      </c>
      <c r="N31" s="560" t="e">
        <f t="shared" si="5"/>
        <v>#N/A</v>
      </c>
      <c r="O31" s="560" t="e">
        <f t="shared" si="5"/>
        <v>#N/A</v>
      </c>
    </row>
    <row r="32" spans="2:17" x14ac:dyDescent="0.25">
      <c r="B32" s="292" t="s">
        <v>765</v>
      </c>
      <c r="C32" s="17"/>
      <c r="D32" s="17"/>
      <c r="E32" s="17"/>
      <c r="F32" s="297" t="s">
        <v>764</v>
      </c>
      <c r="G32" s="560">
        <f>ROUND(G14*G21,2)</f>
        <v>0</v>
      </c>
      <c r="H32" s="560">
        <f>ROUND(H14*H21,2)</f>
        <v>0</v>
      </c>
      <c r="I32" s="560">
        <f>ROUND(I14*I21,2)</f>
        <v>0</v>
      </c>
      <c r="J32" s="560">
        <f>ROUND(J14*J21,2)</f>
        <v>0</v>
      </c>
      <c r="K32" s="230"/>
      <c r="L32" s="560">
        <f>ROUND(L14*L21,2)</f>
        <v>0</v>
      </c>
      <c r="M32" s="560">
        <f>ROUND(M14*M21,2)</f>
        <v>0</v>
      </c>
      <c r="N32" s="560">
        <f>ROUND(N14*N21,2)</f>
        <v>0</v>
      </c>
      <c r="O32" s="560">
        <f>ROUND(O14*O21,2)</f>
        <v>0</v>
      </c>
      <c r="P32" s="35"/>
      <c r="Q32" s="35"/>
    </row>
    <row r="33" spans="1:17" x14ac:dyDescent="0.25">
      <c r="B33" s="292" t="s">
        <v>766</v>
      </c>
      <c r="C33" s="17"/>
      <c r="D33" s="17"/>
      <c r="E33" s="17"/>
      <c r="F33" s="297" t="s">
        <v>764</v>
      </c>
      <c r="G33" s="560">
        <f>ROUND(G15*G21,2)</f>
        <v>0</v>
      </c>
      <c r="H33" s="560">
        <f>ROUND(H15*H21,2)</f>
        <v>0</v>
      </c>
      <c r="I33" s="560">
        <f>ROUND(I15*I21,2)</f>
        <v>0</v>
      </c>
      <c r="J33" s="560">
        <f>ROUND(J15*J21,2)</f>
        <v>0</v>
      </c>
      <c r="K33" s="230"/>
      <c r="L33" s="560">
        <f>ROUND(L15*L21,2)</f>
        <v>0</v>
      </c>
      <c r="M33" s="560">
        <f>ROUND(M15*M21,2)</f>
        <v>0</v>
      </c>
      <c r="N33" s="560">
        <f>ROUND(N15*N21,2)</f>
        <v>0</v>
      </c>
      <c r="O33" s="560">
        <f>ROUND(O15*O21,2)</f>
        <v>0</v>
      </c>
      <c r="P33" s="35"/>
      <c r="Q33" s="35"/>
    </row>
    <row r="34" spans="1:17" s="35" customFormat="1" x14ac:dyDescent="0.25">
      <c r="B34" s="292" t="s">
        <v>767</v>
      </c>
      <c r="C34" s="17"/>
      <c r="D34" s="17"/>
      <c r="E34" s="17"/>
      <c r="F34" s="297" t="s">
        <v>764</v>
      </c>
      <c r="G34" s="560">
        <f>ROUND(G16*G21,2)</f>
        <v>0</v>
      </c>
      <c r="H34" s="560">
        <f>ROUND(H16*H21,2)</f>
        <v>0</v>
      </c>
      <c r="I34" s="560">
        <f>ROUND(I16*I21,2)</f>
        <v>0</v>
      </c>
      <c r="J34" s="560">
        <f>ROUND(J16*J21,2)</f>
        <v>0</v>
      </c>
      <c r="K34" s="230"/>
      <c r="L34" s="560">
        <f>ROUND(L16*L21,2)</f>
        <v>0</v>
      </c>
      <c r="M34" s="560">
        <f>ROUND(M16*M21,2)</f>
        <v>0</v>
      </c>
      <c r="N34" s="560">
        <f>ROUND(N16*N21,2)</f>
        <v>0</v>
      </c>
      <c r="O34" s="560">
        <f>ROUND(O16*O21,2)</f>
        <v>0</v>
      </c>
    </row>
    <row r="35" spans="1:17" x14ac:dyDescent="0.25">
      <c r="B35" s="295" t="s">
        <v>774</v>
      </c>
      <c r="C35" s="293"/>
      <c r="D35" s="293"/>
      <c r="E35" s="293"/>
      <c r="F35" s="293"/>
      <c r="G35" s="287"/>
      <c r="H35" s="287"/>
      <c r="I35" s="287"/>
      <c r="J35" s="287"/>
      <c r="K35" s="287"/>
      <c r="L35" s="287"/>
      <c r="M35" s="287"/>
      <c r="N35" s="287"/>
      <c r="O35" s="286"/>
      <c r="P35" s="35"/>
    </row>
    <row r="36" spans="1:17" x14ac:dyDescent="0.25">
      <c r="B36" s="292" t="s">
        <v>759</v>
      </c>
      <c r="C36" s="17"/>
      <c r="D36" s="17"/>
      <c r="E36" s="17"/>
      <c r="F36" s="297" t="s">
        <v>695</v>
      </c>
      <c r="G36" s="560" t="e">
        <f>IF(Queuing!$T$33="Yes",G19,0)</f>
        <v>#N/A</v>
      </c>
      <c r="H36" s="560" t="e">
        <f>IF(Queuing!$T$33="Yes",H19,0)</f>
        <v>#N/A</v>
      </c>
      <c r="I36" s="560" t="e">
        <f>IF(Queuing!$T$33="Yes",I19,0)</f>
        <v>#N/A</v>
      </c>
      <c r="J36" s="560" t="e">
        <f>IF(Queuing!$T$33="Yes",J19,0)</f>
        <v>#N/A</v>
      </c>
      <c r="K36" s="230"/>
      <c r="L36" s="560" t="e">
        <f>IF(Queuing!$T$67="Yes",L19,0)</f>
        <v>#N/A</v>
      </c>
      <c r="M36" s="560" t="e">
        <f>IF(Queuing!$T$67="Yes",M19,0)</f>
        <v>#N/A</v>
      </c>
      <c r="N36" s="560" t="e">
        <f>IF(Queuing!$T$67="Yes",N19,0)</f>
        <v>#N/A</v>
      </c>
      <c r="O36" s="560" t="e">
        <f>IF(Queuing!$T$67="Yes",O19,0)</f>
        <v>#N/A</v>
      </c>
    </row>
    <row r="37" spans="1:17" s="35" customFormat="1" x14ac:dyDescent="0.25">
      <c r="B37" s="292" t="s">
        <v>760</v>
      </c>
      <c r="C37" s="17"/>
      <c r="D37" s="17"/>
      <c r="E37" s="17"/>
      <c r="F37" s="297" t="s">
        <v>764</v>
      </c>
      <c r="G37" s="560">
        <f>IF(Cycle="none",0,G8*G19)</f>
        <v>0</v>
      </c>
      <c r="H37" s="567">
        <f>IF(Cycle="none",0,H8*H19)</f>
        <v>0</v>
      </c>
      <c r="I37" s="567">
        <f>IF(Cycle="none",0,I8*I19)</f>
        <v>0</v>
      </c>
      <c r="J37" s="567">
        <f>IF(Cycle="none",0,J8*J19)</f>
        <v>0</v>
      </c>
      <c r="K37" s="230"/>
      <c r="L37" s="567">
        <f>IF(Cycle="none",0,L8*L19)</f>
        <v>0</v>
      </c>
      <c r="M37" s="567">
        <f>IF(Cycle="none",0,M8*M19)</f>
        <v>0</v>
      </c>
      <c r="N37" s="567">
        <f>IF(Cycle="none",0,N8*N19)</f>
        <v>0</v>
      </c>
      <c r="O37" s="567">
        <f>IF(Cycle="none",0,O8*O19)</f>
        <v>0</v>
      </c>
    </row>
    <row r="38" spans="1:17" x14ac:dyDescent="0.25">
      <c r="A38" s="35"/>
      <c r="B38" s="295" t="s">
        <v>787</v>
      </c>
      <c r="C38" s="293"/>
      <c r="D38" s="293"/>
      <c r="E38" s="293"/>
      <c r="F38" s="293"/>
      <c r="G38" s="300"/>
      <c r="H38" s="300"/>
      <c r="I38" s="300"/>
      <c r="J38" s="300"/>
      <c r="K38" s="300"/>
      <c r="L38" s="300"/>
      <c r="M38" s="300"/>
      <c r="N38" s="300"/>
      <c r="O38" s="299"/>
      <c r="P38" s="35"/>
    </row>
    <row r="39" spans="1:17" x14ac:dyDescent="0.25">
      <c r="A39" s="35"/>
      <c r="B39" s="310" t="s">
        <v>781</v>
      </c>
      <c r="C39" s="17"/>
      <c r="D39" s="17"/>
      <c r="E39" s="17"/>
      <c r="F39" s="297" t="s">
        <v>764</v>
      </c>
      <c r="G39" s="560" t="e">
        <f>G23+G30</f>
        <v>#N/A</v>
      </c>
      <c r="H39" s="560" t="e">
        <f>H23+H30</f>
        <v>#N/A</v>
      </c>
      <c r="I39" s="560" t="e">
        <f>I23+I30</f>
        <v>#N/A</v>
      </c>
      <c r="J39" s="560" t="e">
        <f>J23+J30</f>
        <v>#N/A</v>
      </c>
      <c r="K39" s="230"/>
      <c r="L39" s="560" t="e">
        <f>L23+L30</f>
        <v>#N/A</v>
      </c>
      <c r="M39" s="560" t="e">
        <f>M23+M30</f>
        <v>#N/A</v>
      </c>
      <c r="N39" s="560" t="e">
        <f>N23+N30</f>
        <v>#N/A</v>
      </c>
      <c r="O39" s="560" t="e">
        <f>O23+O30</f>
        <v>#N/A</v>
      </c>
      <c r="P39" s="35"/>
    </row>
    <row r="40" spans="1:17" s="35" customFormat="1" x14ac:dyDescent="0.25">
      <c r="B40" s="310" t="s">
        <v>782</v>
      </c>
      <c r="C40" s="17"/>
      <c r="D40" s="17"/>
      <c r="E40" s="17"/>
      <c r="F40" s="297" t="s">
        <v>695</v>
      </c>
      <c r="G40" s="560" t="e">
        <f>IF(Queuing!$T$33="Yes",G25+G36,0)</f>
        <v>#N/A</v>
      </c>
      <c r="H40" s="560" t="e">
        <f>IF(Queuing!$T$33="Yes",H25+H36,0)</f>
        <v>#N/A</v>
      </c>
      <c r="I40" s="560" t="e">
        <f>IF(Queuing!$T$33="Yes",I25+I36,0)</f>
        <v>#N/A</v>
      </c>
      <c r="J40" s="560" t="e">
        <f>IF(Queuing!$T$33="Yes",J25+J36,0)</f>
        <v>#N/A</v>
      </c>
      <c r="K40" s="230"/>
      <c r="L40" s="560" t="e">
        <f>IF(Queuing!$T$67="Yes",L25+L36,0)</f>
        <v>#N/A</v>
      </c>
      <c r="M40" s="560" t="e">
        <f>IF(Queuing!$T$67="Yes",M25+M36,0)</f>
        <v>#N/A</v>
      </c>
      <c r="N40" s="560" t="e">
        <f>IF(Queuing!$T$67="Yes",N25+N36,0)</f>
        <v>#N/A</v>
      </c>
      <c r="O40" s="560" t="e">
        <f>IF(Queuing!$T$67="Yes",O25+O36,0)</f>
        <v>#N/A</v>
      </c>
    </row>
    <row r="41" spans="1:17" x14ac:dyDescent="0.25">
      <c r="A41" s="35"/>
      <c r="B41" s="310" t="s">
        <v>783</v>
      </c>
      <c r="C41" s="17"/>
      <c r="D41" s="17"/>
      <c r="E41" s="17"/>
      <c r="F41" s="297" t="s">
        <v>764</v>
      </c>
      <c r="G41" s="560" t="e">
        <f>G24+G31+G37</f>
        <v>#N/A</v>
      </c>
      <c r="H41" s="560" t="e">
        <f>H24+H31+H37</f>
        <v>#N/A</v>
      </c>
      <c r="I41" s="560" t="e">
        <f>I24+I31+I37</f>
        <v>#N/A</v>
      </c>
      <c r="J41" s="560" t="e">
        <f>J24+J31+J37</f>
        <v>#N/A</v>
      </c>
      <c r="K41" s="230"/>
      <c r="L41" s="560" t="e">
        <f>L24+L31+L37</f>
        <v>#N/A</v>
      </c>
      <c r="M41" s="560" t="e">
        <f>M24+M31+M37</f>
        <v>#N/A</v>
      </c>
      <c r="N41" s="560" t="e">
        <f>N24+N31+N37</f>
        <v>#N/A</v>
      </c>
      <c r="O41" s="560" t="e">
        <f>O24+O31+O37</f>
        <v>#N/A</v>
      </c>
      <c r="P41" s="35"/>
    </row>
    <row r="42" spans="1:17" x14ac:dyDescent="0.25">
      <c r="A42" s="35"/>
      <c r="B42" s="310" t="s">
        <v>784</v>
      </c>
      <c r="C42" s="17"/>
      <c r="D42" s="17"/>
      <c r="E42" s="17"/>
      <c r="F42" s="297" t="s">
        <v>764</v>
      </c>
      <c r="G42" s="560" t="e">
        <f t="shared" ref="G42:J44" si="6">G26+G32</f>
        <v>#N/A</v>
      </c>
      <c r="H42" s="560" t="e">
        <f t="shared" si="6"/>
        <v>#N/A</v>
      </c>
      <c r="I42" s="560" t="e">
        <f t="shared" si="6"/>
        <v>#N/A</v>
      </c>
      <c r="J42" s="560" t="e">
        <f t="shared" si="6"/>
        <v>#N/A</v>
      </c>
      <c r="K42" s="230"/>
      <c r="L42" s="560" t="e">
        <f t="shared" ref="L42:O44" si="7">L26+L32</f>
        <v>#N/A</v>
      </c>
      <c r="M42" s="560" t="e">
        <f t="shared" si="7"/>
        <v>#N/A</v>
      </c>
      <c r="N42" s="560" t="e">
        <f t="shared" si="7"/>
        <v>#N/A</v>
      </c>
      <c r="O42" s="560" t="e">
        <f t="shared" si="7"/>
        <v>#N/A</v>
      </c>
      <c r="P42" s="35"/>
    </row>
    <row r="43" spans="1:17" x14ac:dyDescent="0.25">
      <c r="A43" s="35"/>
      <c r="B43" s="310" t="s">
        <v>785</v>
      </c>
      <c r="C43" s="17"/>
      <c r="D43" s="17"/>
      <c r="E43" s="17"/>
      <c r="F43" s="297" t="s">
        <v>764</v>
      </c>
      <c r="G43" s="560" t="e">
        <f t="shared" si="6"/>
        <v>#N/A</v>
      </c>
      <c r="H43" s="560" t="e">
        <f t="shared" si="6"/>
        <v>#N/A</v>
      </c>
      <c r="I43" s="560" t="e">
        <f t="shared" si="6"/>
        <v>#N/A</v>
      </c>
      <c r="J43" s="560" t="e">
        <f t="shared" si="6"/>
        <v>#N/A</v>
      </c>
      <c r="K43" s="230"/>
      <c r="L43" s="560" t="e">
        <f t="shared" si="7"/>
        <v>#N/A</v>
      </c>
      <c r="M43" s="560" t="e">
        <f t="shared" si="7"/>
        <v>#N/A</v>
      </c>
      <c r="N43" s="560" t="e">
        <f t="shared" si="7"/>
        <v>#N/A</v>
      </c>
      <c r="O43" s="560" t="e">
        <f t="shared" si="7"/>
        <v>#N/A</v>
      </c>
      <c r="P43" s="35"/>
    </row>
    <row r="44" spans="1:17" x14ac:dyDescent="0.25">
      <c r="A44" s="35"/>
      <c r="B44" s="310" t="s">
        <v>786</v>
      </c>
      <c r="C44" s="17"/>
      <c r="D44" s="17"/>
      <c r="E44" s="17"/>
      <c r="F44" s="297" t="s">
        <v>764</v>
      </c>
      <c r="G44" s="560" t="e">
        <f t="shared" si="6"/>
        <v>#N/A</v>
      </c>
      <c r="H44" s="560" t="e">
        <f t="shared" si="6"/>
        <v>#N/A</v>
      </c>
      <c r="I44" s="560" t="e">
        <f t="shared" si="6"/>
        <v>#N/A</v>
      </c>
      <c r="J44" s="560" t="e">
        <f t="shared" si="6"/>
        <v>#N/A</v>
      </c>
      <c r="K44" s="230"/>
      <c r="L44" s="560" t="e">
        <f t="shared" si="7"/>
        <v>#N/A</v>
      </c>
      <c r="M44" s="560" t="e">
        <f t="shared" si="7"/>
        <v>#N/A</v>
      </c>
      <c r="N44" s="560" t="e">
        <f t="shared" si="7"/>
        <v>#N/A</v>
      </c>
      <c r="O44" s="560" t="e">
        <f t="shared" si="7"/>
        <v>#N/A</v>
      </c>
      <c r="P44" s="35"/>
    </row>
    <row r="45" spans="1:17" s="35" customFormat="1" x14ac:dyDescent="0.25"/>
    <row r="46" spans="1:17" x14ac:dyDescent="0.25">
      <c r="A46" s="35"/>
      <c r="B46" s="35"/>
      <c r="C46" s="35"/>
      <c r="D46" s="35"/>
      <c r="E46" s="35"/>
      <c r="G46" s="35"/>
      <c r="H46" s="35"/>
      <c r="I46" s="35"/>
      <c r="J46" s="35"/>
      <c r="K46" s="35"/>
      <c r="L46" s="35"/>
      <c r="M46" s="35"/>
      <c r="N46" s="35"/>
      <c r="O46" s="35"/>
      <c r="P46" s="35"/>
    </row>
    <row r="47" spans="1:17" x14ac:dyDescent="0.25">
      <c r="A47" s="35"/>
      <c r="B47" s="35"/>
      <c r="C47" s="35"/>
      <c r="D47" s="35"/>
      <c r="E47" s="35"/>
      <c r="G47" s="35"/>
      <c r="H47" s="35"/>
      <c r="I47" s="35"/>
      <c r="J47" s="35"/>
      <c r="K47" s="35"/>
      <c r="L47" s="35"/>
      <c r="M47" s="35"/>
      <c r="N47" s="35"/>
      <c r="O47" s="35"/>
      <c r="P47" s="35"/>
    </row>
    <row r="48" spans="1:17" x14ac:dyDescent="0.25">
      <c r="A48" s="35"/>
      <c r="B48" s="35"/>
      <c r="C48" s="35"/>
      <c r="D48" s="35"/>
      <c r="E48" s="35"/>
      <c r="G48" s="35"/>
      <c r="H48" s="35"/>
      <c r="I48" s="35"/>
      <c r="J48" s="35"/>
      <c r="K48" s="35"/>
      <c r="L48" s="35"/>
      <c r="M48" s="35"/>
      <c r="N48" s="35"/>
      <c r="O48" s="35"/>
      <c r="P48" s="35"/>
    </row>
    <row r="49" spans="1:16" x14ac:dyDescent="0.25">
      <c r="A49" s="35"/>
      <c r="B49" s="35"/>
      <c r="C49" s="35"/>
      <c r="D49" s="35"/>
      <c r="E49" s="35"/>
      <c r="G49" s="35"/>
      <c r="H49" s="35"/>
      <c r="I49" s="35"/>
      <c r="J49" s="35"/>
      <c r="K49" s="35"/>
      <c r="L49" s="35"/>
      <c r="M49" s="35"/>
      <c r="N49" s="35"/>
      <c r="O49" s="35"/>
      <c r="P49" s="35"/>
    </row>
    <row r="50" spans="1:16" x14ac:dyDescent="0.25">
      <c r="A50" s="35"/>
      <c r="B50" s="35"/>
      <c r="C50" s="35"/>
      <c r="D50" s="35"/>
      <c r="E50" s="35"/>
      <c r="G50" s="35"/>
      <c r="H50" s="35"/>
      <c r="I50" s="35"/>
      <c r="J50" s="35"/>
      <c r="K50" s="35"/>
      <c r="L50" s="35"/>
      <c r="M50" s="35"/>
      <c r="N50" s="35"/>
      <c r="O50" s="35"/>
    </row>
    <row r="51" spans="1:16" x14ac:dyDescent="0.25">
      <c r="A51" s="35"/>
      <c r="B51" s="35"/>
      <c r="C51" s="35"/>
      <c r="D51" s="35"/>
      <c r="E51" s="35"/>
      <c r="G51" s="35"/>
      <c r="H51" s="35"/>
      <c r="I51" s="35"/>
      <c r="J51" s="35"/>
      <c r="K51" s="35"/>
      <c r="L51" s="35"/>
      <c r="M51" s="35"/>
      <c r="N51" s="35"/>
      <c r="O51" s="35"/>
      <c r="P51" s="35"/>
    </row>
    <row r="52" spans="1:16" x14ac:dyDescent="0.25">
      <c r="A52" s="35"/>
      <c r="B52" s="35"/>
      <c r="C52" s="35"/>
      <c r="D52" s="35"/>
      <c r="E52" s="35"/>
      <c r="G52" s="35"/>
      <c r="H52" s="35"/>
      <c r="I52" s="35"/>
      <c r="J52" s="35"/>
      <c r="K52" s="35"/>
      <c r="L52" s="35"/>
      <c r="M52" s="35"/>
      <c r="N52" s="35"/>
      <c r="O52" s="35"/>
      <c r="P52" s="35"/>
    </row>
    <row r="53" spans="1:16" x14ac:dyDescent="0.25">
      <c r="A53" s="35"/>
      <c r="B53" s="35"/>
      <c r="C53" s="35"/>
      <c r="D53" s="35"/>
      <c r="E53" s="35"/>
      <c r="G53" s="35"/>
      <c r="H53" s="35"/>
      <c r="I53" s="35"/>
      <c r="J53" s="35"/>
      <c r="K53" s="35"/>
      <c r="L53" s="35"/>
      <c r="M53" s="35"/>
      <c r="N53" s="35"/>
      <c r="O53" s="35"/>
      <c r="P53" s="35"/>
    </row>
    <row r="54" spans="1:16" x14ac:dyDescent="0.25">
      <c r="A54" s="35"/>
      <c r="B54" s="35"/>
      <c r="C54" s="35"/>
      <c r="D54" s="35"/>
      <c r="E54" s="35"/>
      <c r="G54" s="35"/>
      <c r="H54" s="35"/>
      <c r="I54" s="35"/>
      <c r="J54" s="35"/>
      <c r="K54" s="35"/>
      <c r="L54" s="35"/>
      <c r="M54" s="35"/>
      <c r="N54" s="35"/>
      <c r="O54" s="35"/>
      <c r="P54" s="35"/>
    </row>
    <row r="55" spans="1:16" x14ac:dyDescent="0.25">
      <c r="A55" s="35"/>
      <c r="B55" s="35"/>
      <c r="C55" s="35"/>
      <c r="D55" s="35"/>
      <c r="E55" s="35"/>
      <c r="G55" s="35"/>
      <c r="H55" s="35"/>
      <c r="I55" s="35"/>
      <c r="J55" s="35"/>
      <c r="K55" s="35"/>
      <c r="L55" s="35"/>
      <c r="M55" s="35"/>
      <c r="N55" s="35"/>
      <c r="O55" s="35"/>
      <c r="P55" s="35"/>
    </row>
    <row r="56" spans="1:16" x14ac:dyDescent="0.25">
      <c r="A56" s="35"/>
      <c r="B56" s="35"/>
      <c r="C56" s="35"/>
      <c r="D56" s="35"/>
      <c r="E56" s="35"/>
      <c r="G56" s="35"/>
      <c r="H56" s="35"/>
      <c r="I56" s="35"/>
      <c r="J56" s="35"/>
      <c r="K56" s="35"/>
      <c r="L56" s="35"/>
      <c r="M56" s="35"/>
      <c r="N56" s="35"/>
      <c r="O56" s="35"/>
      <c r="P56" s="35"/>
    </row>
    <row r="57" spans="1:16" x14ac:dyDescent="0.25">
      <c r="A57" s="35"/>
      <c r="B57" s="35"/>
      <c r="C57" s="35"/>
      <c r="D57" s="35"/>
      <c r="E57" s="35"/>
      <c r="G57" s="35"/>
      <c r="H57" s="35"/>
      <c r="I57" s="35"/>
      <c r="J57" s="35"/>
      <c r="K57" s="35"/>
      <c r="L57" s="35"/>
      <c r="M57" s="35"/>
      <c r="N57" s="35"/>
      <c r="O57" s="35"/>
      <c r="P57" s="35"/>
    </row>
    <row r="58" spans="1:16" x14ac:dyDescent="0.25">
      <c r="A58" s="35"/>
      <c r="B58" s="35"/>
      <c r="C58" s="35"/>
      <c r="D58" s="35"/>
      <c r="E58" s="35"/>
      <c r="G58" s="35"/>
      <c r="H58" s="35"/>
      <c r="I58" s="35"/>
      <c r="J58" s="35"/>
      <c r="K58" s="35"/>
      <c r="L58" s="35"/>
      <c r="M58" s="35"/>
      <c r="N58" s="35"/>
      <c r="O58" s="35"/>
      <c r="P58" s="35"/>
    </row>
    <row r="59" spans="1:16" x14ac:dyDescent="0.25">
      <c r="A59" s="35"/>
      <c r="B59" s="35"/>
      <c r="C59" s="35"/>
      <c r="D59" s="35"/>
      <c r="E59" s="35"/>
      <c r="G59" s="35"/>
      <c r="H59" s="35"/>
      <c r="I59" s="35"/>
      <c r="J59" s="35"/>
      <c r="K59" s="35"/>
      <c r="L59" s="35"/>
      <c r="M59" s="35"/>
      <c r="N59" s="35"/>
      <c r="O59" s="35"/>
      <c r="P59" s="35"/>
    </row>
    <row r="60" spans="1:16" x14ac:dyDescent="0.25">
      <c r="A60" s="35"/>
      <c r="B60" s="35"/>
      <c r="C60" s="35"/>
      <c r="D60" s="35"/>
      <c r="E60" s="35"/>
      <c r="G60" s="35"/>
      <c r="H60" s="35"/>
      <c r="I60" s="35"/>
      <c r="J60" s="35"/>
      <c r="K60" s="35"/>
      <c r="L60" s="35"/>
      <c r="M60" s="35"/>
      <c r="N60" s="35"/>
      <c r="O60" s="35"/>
      <c r="P60" s="35"/>
    </row>
    <row r="61" spans="1:16" x14ac:dyDescent="0.25">
      <c r="A61" s="35"/>
      <c r="B61" s="35"/>
      <c r="C61" s="35"/>
      <c r="D61" s="35"/>
      <c r="E61" s="35"/>
      <c r="G61" s="35"/>
      <c r="H61" s="35"/>
      <c r="I61" s="35"/>
      <c r="J61" s="35"/>
      <c r="K61" s="35"/>
      <c r="L61" s="35"/>
      <c r="M61" s="35"/>
      <c r="N61" s="35"/>
      <c r="O61" s="35"/>
      <c r="P61" s="35"/>
    </row>
    <row r="62" spans="1:16" x14ac:dyDescent="0.25">
      <c r="A62" s="35"/>
      <c r="B62" s="35"/>
      <c r="C62" s="35"/>
      <c r="D62" s="35"/>
      <c r="E62" s="35"/>
      <c r="G62" s="35"/>
      <c r="H62" s="35"/>
      <c r="I62" s="35"/>
      <c r="J62" s="35"/>
      <c r="K62" s="35"/>
      <c r="L62" s="35"/>
      <c r="M62" s="35"/>
      <c r="N62" s="35"/>
      <c r="O62" s="35"/>
      <c r="P62" s="35"/>
    </row>
    <row r="63" spans="1:16" x14ac:dyDescent="0.25">
      <c r="A63" s="35"/>
      <c r="B63" s="35"/>
      <c r="C63" s="35"/>
      <c r="D63" s="35"/>
      <c r="E63" s="35"/>
      <c r="G63" s="35"/>
      <c r="H63" s="35"/>
      <c r="I63" s="35"/>
      <c r="J63" s="35"/>
      <c r="K63" s="35"/>
      <c r="L63" s="35"/>
      <c r="M63" s="35"/>
      <c r="N63" s="35"/>
      <c r="O63" s="35"/>
      <c r="P63" s="35"/>
    </row>
    <row r="64" spans="1:16" x14ac:dyDescent="0.25">
      <c r="A64" s="35"/>
      <c r="B64" s="35"/>
      <c r="C64" s="35"/>
      <c r="D64" s="35"/>
      <c r="E64" s="35"/>
      <c r="G64" s="35"/>
      <c r="H64" s="35"/>
      <c r="I64" s="35"/>
      <c r="J64" s="35"/>
      <c r="K64" s="35"/>
      <c r="L64" s="35"/>
      <c r="M64" s="35"/>
      <c r="N64" s="35"/>
      <c r="O64" s="35"/>
      <c r="P64" s="35"/>
    </row>
    <row r="65" spans="1:16" x14ac:dyDescent="0.25">
      <c r="A65" s="35"/>
      <c r="B65" s="35"/>
      <c r="C65" s="35"/>
      <c r="D65" s="35"/>
      <c r="E65" s="35"/>
      <c r="G65" s="35"/>
      <c r="H65" s="35"/>
      <c r="I65" s="35"/>
      <c r="J65" s="35"/>
      <c r="K65" s="35"/>
      <c r="L65" s="35"/>
      <c r="M65" s="35"/>
      <c r="N65" s="35"/>
      <c r="O65" s="35"/>
      <c r="P65" s="35"/>
    </row>
    <row r="66" spans="1:16" x14ac:dyDescent="0.25">
      <c r="A66" s="35"/>
      <c r="B66" s="35"/>
      <c r="C66" s="35"/>
      <c r="D66" s="35"/>
      <c r="E66" s="35"/>
      <c r="G66" s="35"/>
      <c r="H66" s="35"/>
      <c r="I66" s="35"/>
      <c r="J66" s="35"/>
      <c r="K66" s="35"/>
      <c r="L66" s="35"/>
      <c r="M66" s="35"/>
      <c r="N66" s="35"/>
      <c r="O66" s="35"/>
      <c r="P66" s="35"/>
    </row>
    <row r="67" spans="1:16" x14ac:dyDescent="0.25">
      <c r="A67" s="35"/>
      <c r="B67" s="35"/>
      <c r="C67" s="35"/>
      <c r="D67" s="35"/>
      <c r="E67" s="35"/>
      <c r="G67" s="35"/>
      <c r="H67" s="35"/>
      <c r="I67" s="35"/>
      <c r="J67" s="35"/>
      <c r="K67" s="35"/>
      <c r="L67" s="35"/>
      <c r="M67" s="35"/>
      <c r="N67" s="35"/>
      <c r="O67" s="35"/>
      <c r="P67" s="35"/>
    </row>
    <row r="68" spans="1:16" x14ac:dyDescent="0.25">
      <c r="A68" s="35"/>
      <c r="B68" s="35"/>
      <c r="C68" s="35"/>
      <c r="D68" s="35"/>
      <c r="E68" s="35"/>
      <c r="G68" s="35"/>
      <c r="H68" s="35"/>
      <c r="I68" s="35"/>
      <c r="J68" s="35"/>
      <c r="K68" s="35"/>
      <c r="L68" s="35"/>
      <c r="M68" s="35"/>
      <c r="N68" s="35"/>
      <c r="O68" s="35"/>
      <c r="P68" s="35"/>
    </row>
    <row r="69" spans="1:16" x14ac:dyDescent="0.25">
      <c r="E69" s="35"/>
      <c r="F69" s="256"/>
      <c r="O69"/>
    </row>
    <row r="70" spans="1:16" x14ac:dyDescent="0.25">
      <c r="E70" s="35"/>
      <c r="F70" s="256"/>
      <c r="O70"/>
    </row>
    <row r="71" spans="1:16" x14ac:dyDescent="0.25">
      <c r="E71" s="35"/>
      <c r="F71" s="256"/>
      <c r="O71"/>
    </row>
    <row r="72" spans="1:16" x14ac:dyDescent="0.25">
      <c r="E72" s="35"/>
      <c r="F72" s="256"/>
      <c r="O72"/>
    </row>
  </sheetData>
  <sheetProtection password="B9FF" sheet="1" objects="1" scenarios="1"/>
  <mergeCells count="4">
    <mergeCell ref="L5:O5"/>
    <mergeCell ref="G5:J5"/>
    <mergeCell ref="B3:O3"/>
    <mergeCell ref="B2:O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2:AL115"/>
  <sheetViews>
    <sheetView showGridLines="0" zoomScaleNormal="100" workbookViewId="0"/>
  </sheetViews>
  <sheetFormatPr defaultRowHeight="15" x14ac:dyDescent="0.25"/>
  <cols>
    <col min="1" max="1" width="4.5703125" customWidth="1"/>
    <col min="2" max="2" width="9.28515625" bestFit="1" customWidth="1"/>
    <col min="3" max="3" width="10.5703125" bestFit="1" customWidth="1"/>
    <col min="4" max="8" width="6.7109375" style="35" customWidth="1"/>
    <col min="9" max="9" width="6.7109375" customWidth="1"/>
    <col min="10" max="13" width="6.7109375" style="35" customWidth="1"/>
    <col min="14" max="38" width="6.7109375" customWidth="1"/>
  </cols>
  <sheetData>
    <row r="2" spans="1:38" ht="36" customHeight="1" x14ac:dyDescent="0.25">
      <c r="B2" s="1145" t="s">
        <v>371</v>
      </c>
      <c r="C2" s="1146"/>
      <c r="D2" s="1146"/>
      <c r="E2" s="1146"/>
      <c r="F2" s="1146"/>
      <c r="G2" s="1146"/>
      <c r="H2" s="1146"/>
      <c r="I2" s="1146"/>
      <c r="J2" s="1146"/>
      <c r="K2" s="1146"/>
      <c r="L2" s="1146"/>
      <c r="M2" s="1146"/>
      <c r="N2" s="1146"/>
      <c r="O2" s="1146"/>
      <c r="P2" s="1146"/>
      <c r="Q2" s="1146"/>
      <c r="R2" s="1146"/>
      <c r="S2" s="1146"/>
      <c r="T2" s="1146"/>
      <c r="U2" s="1146"/>
      <c r="V2" s="1146"/>
      <c r="W2" s="1146"/>
      <c r="X2" s="1146"/>
      <c r="Y2" s="1147"/>
      <c r="Z2" s="380"/>
      <c r="AA2" s="380"/>
      <c r="AB2" s="380"/>
      <c r="AC2" s="380"/>
      <c r="AD2" s="380"/>
      <c r="AE2" s="380"/>
      <c r="AF2" s="380"/>
      <c r="AG2" s="380"/>
      <c r="AH2" s="380"/>
      <c r="AI2" s="380"/>
      <c r="AJ2" s="380"/>
      <c r="AK2" s="380"/>
      <c r="AL2" s="380"/>
    </row>
    <row r="3" spans="1:38" ht="23.25" customHeight="1" x14ac:dyDescent="0.25">
      <c r="B3" s="1148" t="s">
        <v>845</v>
      </c>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378"/>
      <c r="AA3" s="378"/>
      <c r="AB3" s="378"/>
      <c r="AC3" s="378"/>
      <c r="AD3" s="378"/>
      <c r="AE3" s="378"/>
      <c r="AF3" s="378"/>
      <c r="AG3" s="378"/>
      <c r="AH3" s="378"/>
      <c r="AI3" s="378"/>
      <c r="AJ3" s="378"/>
      <c r="AK3" s="378"/>
      <c r="AL3" s="379"/>
    </row>
    <row r="4" spans="1:38" s="35" customFormat="1" x14ac:dyDescent="0.25"/>
    <row r="6" spans="1:38" ht="15" customHeight="1" x14ac:dyDescent="0.25">
      <c r="B6" s="1199" t="str">
        <f>FirstDirection</f>
        <v>Direction 1</v>
      </c>
      <c r="C6" s="1201"/>
      <c r="D6" s="1185" t="s">
        <v>843</v>
      </c>
      <c r="E6" s="1186"/>
      <c r="F6" s="1186"/>
      <c r="G6" s="1186"/>
      <c r="H6" s="1187"/>
      <c r="I6" s="1185" t="s">
        <v>528</v>
      </c>
      <c r="J6" s="1186"/>
      <c r="K6" s="1186"/>
      <c r="L6" s="1186"/>
      <c r="M6" s="1187"/>
      <c r="N6" s="1193" t="s">
        <v>579</v>
      </c>
      <c r="O6" s="1194"/>
      <c r="P6" s="1194"/>
      <c r="Q6" s="1194"/>
      <c r="R6" s="1195"/>
      <c r="S6" s="1185" t="s">
        <v>788</v>
      </c>
      <c r="T6" s="1186"/>
      <c r="U6" s="1186"/>
      <c r="V6" s="1186"/>
      <c r="W6" s="1187"/>
      <c r="X6" s="1185" t="str">
        <f>FirstDetourName</f>
        <v>Primary Detour</v>
      </c>
      <c r="Y6" s="1186"/>
      <c r="Z6" s="1186"/>
      <c r="AA6" s="1186"/>
      <c r="AB6" s="1187"/>
      <c r="AC6" s="1185" t="str">
        <f>SecondDetourName</f>
        <v>Secondary Detour</v>
      </c>
      <c r="AD6" s="1186"/>
      <c r="AE6" s="1186"/>
      <c r="AF6" s="1186"/>
      <c r="AG6" s="1187"/>
      <c r="AH6" s="1186" t="str">
        <f>ThirdDetourName</f>
        <v>Tertiary Detour</v>
      </c>
      <c r="AI6" s="1186"/>
      <c r="AJ6" s="1186"/>
      <c r="AK6" s="1186"/>
      <c r="AL6" s="1198"/>
    </row>
    <row r="7" spans="1:38" ht="15" customHeight="1" x14ac:dyDescent="0.25">
      <c r="B7" s="1182" t="s">
        <v>790</v>
      </c>
      <c r="C7" s="316" t="s">
        <v>528</v>
      </c>
      <c r="D7" s="1188" t="s">
        <v>789</v>
      </c>
      <c r="E7" s="1189"/>
      <c r="F7" s="1189"/>
      <c r="G7" s="1189"/>
      <c r="H7" s="1190"/>
      <c r="I7" s="1188" t="s">
        <v>789</v>
      </c>
      <c r="J7" s="1189"/>
      <c r="K7" s="1189"/>
      <c r="L7" s="1189"/>
      <c r="M7" s="1190"/>
      <c r="N7" s="1188" t="s">
        <v>789</v>
      </c>
      <c r="O7" s="1189"/>
      <c r="P7" s="1189"/>
      <c r="Q7" s="1189"/>
      <c r="R7" s="1190"/>
      <c r="S7" s="1188" t="s">
        <v>789</v>
      </c>
      <c r="T7" s="1189"/>
      <c r="U7" s="1189"/>
      <c r="V7" s="1189"/>
      <c r="W7" s="1190"/>
      <c r="X7" s="1188" t="s">
        <v>789</v>
      </c>
      <c r="Y7" s="1189"/>
      <c r="Z7" s="1189"/>
      <c r="AA7" s="1189"/>
      <c r="AB7" s="1190"/>
      <c r="AC7" s="1188" t="s">
        <v>789</v>
      </c>
      <c r="AD7" s="1189"/>
      <c r="AE7" s="1189"/>
      <c r="AF7" s="1189"/>
      <c r="AG7" s="1190"/>
      <c r="AH7" s="1188" t="s">
        <v>789</v>
      </c>
      <c r="AI7" s="1189"/>
      <c r="AJ7" s="1189"/>
      <c r="AK7" s="1189"/>
      <c r="AL7" s="1197"/>
    </row>
    <row r="8" spans="1:38" x14ac:dyDescent="0.25">
      <c r="B8" s="1183"/>
      <c r="C8" s="1180" t="s">
        <v>647</v>
      </c>
      <c r="D8" s="183" t="s">
        <v>203</v>
      </c>
      <c r="E8" s="338" t="s">
        <v>176</v>
      </c>
      <c r="F8" s="338" t="s">
        <v>559</v>
      </c>
      <c r="G8" s="338" t="s">
        <v>558</v>
      </c>
      <c r="H8" s="317" t="s">
        <v>301</v>
      </c>
      <c r="I8" s="183" t="s">
        <v>203</v>
      </c>
      <c r="J8" s="302" t="s">
        <v>176</v>
      </c>
      <c r="K8" s="302" t="s">
        <v>559</v>
      </c>
      <c r="L8" s="302" t="s">
        <v>558</v>
      </c>
      <c r="M8" s="317" t="s">
        <v>301</v>
      </c>
      <c r="N8" s="183" t="s">
        <v>203</v>
      </c>
      <c r="O8" s="302" t="s">
        <v>176</v>
      </c>
      <c r="P8" s="302" t="s">
        <v>559</v>
      </c>
      <c r="Q8" s="302" t="s">
        <v>558</v>
      </c>
      <c r="R8" s="317" t="s">
        <v>301</v>
      </c>
      <c r="S8" s="183" t="s">
        <v>203</v>
      </c>
      <c r="T8" s="302" t="s">
        <v>176</v>
      </c>
      <c r="U8" s="302" t="s">
        <v>559</v>
      </c>
      <c r="V8" s="302" t="s">
        <v>558</v>
      </c>
      <c r="W8" s="317" t="s">
        <v>301</v>
      </c>
      <c r="X8" s="183" t="s">
        <v>203</v>
      </c>
      <c r="Y8" s="302" t="s">
        <v>176</v>
      </c>
      <c r="Z8" s="302" t="s">
        <v>559</v>
      </c>
      <c r="AA8" s="302" t="s">
        <v>558</v>
      </c>
      <c r="AB8" s="317" t="s">
        <v>301</v>
      </c>
      <c r="AC8" s="183" t="s">
        <v>203</v>
      </c>
      <c r="AD8" s="302" t="s">
        <v>176</v>
      </c>
      <c r="AE8" s="302" t="s">
        <v>559</v>
      </c>
      <c r="AF8" s="302" t="s">
        <v>558</v>
      </c>
      <c r="AG8" s="317" t="s">
        <v>301</v>
      </c>
      <c r="AH8" s="299" t="s">
        <v>203</v>
      </c>
      <c r="AI8" s="302" t="s">
        <v>176</v>
      </c>
      <c r="AJ8" s="302" t="s">
        <v>559</v>
      </c>
      <c r="AK8" s="302" t="s">
        <v>558</v>
      </c>
      <c r="AL8" s="318" t="s">
        <v>301</v>
      </c>
    </row>
    <row r="9" spans="1:38" s="35" customFormat="1" x14ac:dyDescent="0.25">
      <c r="B9" s="1184"/>
      <c r="C9" s="1181"/>
      <c r="D9" s="322">
        <v>1</v>
      </c>
      <c r="E9" s="320">
        <v>2</v>
      </c>
      <c r="F9" s="320">
        <v>3</v>
      </c>
      <c r="G9" s="320">
        <v>4</v>
      </c>
      <c r="H9" s="323">
        <v>5</v>
      </c>
      <c r="I9" s="322">
        <v>6</v>
      </c>
      <c r="J9" s="320">
        <v>7</v>
      </c>
      <c r="K9" s="320">
        <v>8</v>
      </c>
      <c r="L9" s="320">
        <v>9</v>
      </c>
      <c r="M9" s="323">
        <v>10</v>
      </c>
      <c r="N9" s="322">
        <v>11</v>
      </c>
      <c r="O9" s="320">
        <v>12</v>
      </c>
      <c r="P9" s="320">
        <v>13</v>
      </c>
      <c r="Q9" s="320">
        <v>14</v>
      </c>
      <c r="R9" s="323">
        <v>15</v>
      </c>
      <c r="S9" s="322">
        <v>16</v>
      </c>
      <c r="T9" s="320">
        <v>17</v>
      </c>
      <c r="U9" s="320">
        <v>18</v>
      </c>
      <c r="V9" s="320">
        <v>19</v>
      </c>
      <c r="W9" s="323">
        <v>20</v>
      </c>
      <c r="X9" s="322">
        <v>21</v>
      </c>
      <c r="Y9" s="320">
        <v>22</v>
      </c>
      <c r="Z9" s="320">
        <v>23</v>
      </c>
      <c r="AA9" s="320">
        <v>24</v>
      </c>
      <c r="AB9" s="323">
        <v>25</v>
      </c>
      <c r="AC9" s="322">
        <v>26</v>
      </c>
      <c r="AD9" s="320">
        <v>27</v>
      </c>
      <c r="AE9" s="320">
        <v>28</v>
      </c>
      <c r="AF9" s="320">
        <v>29</v>
      </c>
      <c r="AG9" s="323">
        <v>30</v>
      </c>
      <c r="AH9" s="320">
        <v>31</v>
      </c>
      <c r="AI9" s="320">
        <v>32</v>
      </c>
      <c r="AJ9" s="320">
        <v>33</v>
      </c>
      <c r="AK9" s="320">
        <v>34</v>
      </c>
      <c r="AL9" s="321">
        <v>35</v>
      </c>
    </row>
    <row r="10" spans="1:38" x14ac:dyDescent="0.25">
      <c r="A10" s="319"/>
      <c r="B10" s="314">
        <f>IF(TimeStart1="All Day",0,TimeStart1)</f>
        <v>0</v>
      </c>
      <c r="C10" s="177" t="s">
        <v>531</v>
      </c>
      <c r="D10" s="516" t="e">
        <f>I10+N10+S10+X10+AC10+AH10</f>
        <v>#N/A</v>
      </c>
      <c r="E10" s="517" t="e">
        <f>J10+O10+T10+Y10+AD10+AI10</f>
        <v>#N/A</v>
      </c>
      <c r="F10" s="517" t="e">
        <f>K10+P10+U10+Z10+AE10+AJ10</f>
        <v>#N/A</v>
      </c>
      <c r="G10" s="517" t="e">
        <f>L10+Q10+V10+AA10+AF10+AK10</f>
        <v>#N/A</v>
      </c>
      <c r="H10" s="518" t="e">
        <f>M10+R10+W10+AB10+AG10+AL10</f>
        <v>#N/A</v>
      </c>
      <c r="I10" s="516" t="e">
        <f>MAX(0,ROUND(Volumes!BV8*CPPCwz1,0))</f>
        <v>#N/A</v>
      </c>
      <c r="J10" s="517" t="e">
        <f>MAX(0,ROUND(Volumes!BW8*CPSUwz1,0))</f>
        <v>#N/A</v>
      </c>
      <c r="K10" s="517" t="e">
        <f>MAX(0,ROUND(Volumes!BX8*CPCTwz1,0))</f>
        <v>#N/A</v>
      </c>
      <c r="L10" s="517" t="e">
        <f>MAX(0,ROUND(Volumes!BY8*CPRVwz1,0))</f>
        <v>#N/A</v>
      </c>
      <c r="M10" s="518" t="e">
        <f>SUM(I10:L10)</f>
        <v>#N/A</v>
      </c>
      <c r="N10" s="519" t="e">
        <f>MAX(0,ROUND((Queuing!Q9/60)*CPPCq1,0))</f>
        <v>#N/A</v>
      </c>
      <c r="O10" s="520" t="e">
        <f>MAX(0,ROUND((Queuing!R9/60)*CPSUq1,0))</f>
        <v>#N/A</v>
      </c>
      <c r="P10" s="520" t="e">
        <f>MAX(0,ROUND((Queuing!S9/60)*CPCTq1,0))</f>
        <v>#N/A</v>
      </c>
      <c r="Q10" s="520" t="e">
        <f>MAX(0,ROUND((Queuing!T9/60)*CPRVq1,0))</f>
        <v>#N/A</v>
      </c>
      <c r="R10" s="518" t="e">
        <f>SUM(N10:Q10)</f>
        <v>#N/A</v>
      </c>
      <c r="S10" s="519" t="e">
        <f>MAX(0,ROUND(Volumes!BV8*CPPCf1,0))</f>
        <v>#N/A</v>
      </c>
      <c r="T10" s="520" t="e">
        <f>MAX(0,ROUND(Volumes!BW8*CPSUf1,0))</f>
        <v>#N/A</v>
      </c>
      <c r="U10" s="520" t="e">
        <f>MAX(0,ROUND(Volumes!BX8*CPCTf1,0))</f>
        <v>#N/A</v>
      </c>
      <c r="V10" s="520" t="e">
        <f>MAX(0,ROUND(Volumes!BY8*CPRVf1,0))</f>
        <v>#N/A</v>
      </c>
      <c r="W10" s="518" t="e">
        <f>SUM(S10:V10)</f>
        <v>#N/A</v>
      </c>
      <c r="X10" s="519" t="e">
        <f>MAX(0,ROUND(Volumes!CB8*CPPCd11,0))</f>
        <v>#N/A</v>
      </c>
      <c r="Y10" s="520" t="e">
        <f>MAX(0,ROUND(Volumes!CC8*CPSUd11,0))</f>
        <v>#N/A</v>
      </c>
      <c r="Z10" s="520" t="e">
        <f>MAX(0,ROUND(Volumes!CD8*CPCTd11,0))</f>
        <v>#N/A</v>
      </c>
      <c r="AA10" s="520" t="e">
        <f>MAX(0,ROUND(Volumes!CE8*CPRVd11,0))</f>
        <v>#N/A</v>
      </c>
      <c r="AB10" s="518" t="e">
        <f>SUM(X10:AA10)</f>
        <v>#N/A</v>
      </c>
      <c r="AC10" s="519" t="e">
        <f>MAX(0,ROUND(Volumes!CH8*CPPCd21,0))</f>
        <v>#N/A</v>
      </c>
      <c r="AD10" s="520" t="e">
        <f>MAX(0,ROUND(Volumes!CI8*CPSUd21,0))</f>
        <v>#N/A</v>
      </c>
      <c r="AE10" s="520" t="e">
        <f>MAX(0,ROUND(Volumes!CJ8*CPCTd21,0))</f>
        <v>#N/A</v>
      </c>
      <c r="AF10" s="520" t="e">
        <f>MAX(0,ROUND(Volumes!CK8*CPRVd21,0))</f>
        <v>#N/A</v>
      </c>
      <c r="AG10" s="518" t="e">
        <f>SUM(AC10:AF10)</f>
        <v>#N/A</v>
      </c>
      <c r="AH10" s="521" t="e">
        <f>MAX(0,ROUND(Volumes!CN8*CPPCd31,0))</f>
        <v>#N/A</v>
      </c>
      <c r="AI10" s="520" t="e">
        <f>MAX(0,ROUND(Volumes!CO8*CPSUd31,0))</f>
        <v>#N/A</v>
      </c>
      <c r="AJ10" s="520" t="e">
        <f>MAX(0,ROUND(Volumes!CP8*CPCTd31,0))</f>
        <v>#N/A</v>
      </c>
      <c r="AK10" s="520" t="e">
        <f>MAX(0,ROUND(Volumes!CQ8*CPRVd31,0))</f>
        <v>#N/A</v>
      </c>
      <c r="AL10" s="517" t="e">
        <f>SUM(AH10:AK10)</f>
        <v>#N/A</v>
      </c>
    </row>
    <row r="11" spans="1:38" x14ac:dyDescent="0.25">
      <c r="A11" s="319"/>
      <c r="B11" s="314">
        <f>IF(B10+TIME(1,0,0)=1,TIME(0,0,0),IF(B10+TIME(1,0,0)&gt;1,B10+TIME(1,0,0)-1,B10+TIME(1,0,0)))</f>
        <v>4.1666666666666664E-2</v>
      </c>
      <c r="C11" s="177" t="str">
        <f t="shared" ref="C11:C33" si="0">IF(TimeEnd1="All Day","YES",IF(ABS(TimeEnd1-B11)&lt;0.0000000001,"no",IF(C10="YES","YES","no")))</f>
        <v>YES</v>
      </c>
      <c r="D11" s="516" t="e">
        <f t="shared" ref="D11:H33" si="1">I11+N11+S11+X11+AC11+AH11</f>
        <v>#N/A</v>
      </c>
      <c r="E11" s="517" t="e">
        <f t="shared" si="1"/>
        <v>#N/A</v>
      </c>
      <c r="F11" s="517" t="e">
        <f t="shared" si="1"/>
        <v>#N/A</v>
      </c>
      <c r="G11" s="517" t="e">
        <f t="shared" si="1"/>
        <v>#N/A</v>
      </c>
      <c r="H11" s="518" t="e">
        <f t="shared" si="1"/>
        <v>#N/A</v>
      </c>
      <c r="I11" s="516" t="e">
        <f>MAX(0,ROUND(Volumes!BV9*CPPCwz1,0))</f>
        <v>#N/A</v>
      </c>
      <c r="J11" s="517" t="e">
        <f>MAX(0,ROUND(Volumes!BW9*CPSUwz1,0))</f>
        <v>#N/A</v>
      </c>
      <c r="K11" s="517" t="e">
        <f>MAX(0,ROUND(Volumes!BX9*CPCTwz1,0))</f>
        <v>#N/A</v>
      </c>
      <c r="L11" s="517" t="e">
        <f>MAX(0,ROUND(Volumes!BY9*CPRVwz1,0))</f>
        <v>#N/A</v>
      </c>
      <c r="M11" s="518" t="e">
        <f t="shared" ref="M11:M33" si="2">SUM(I11:L11)</f>
        <v>#N/A</v>
      </c>
      <c r="N11" s="519" t="e">
        <f>MAX(0,ROUND((Queuing!Q10/60)*CPPCq1,0))</f>
        <v>#N/A</v>
      </c>
      <c r="O11" s="520" t="e">
        <f>MAX(0,ROUND((Queuing!R10/60)*CPSUq1,0))</f>
        <v>#N/A</v>
      </c>
      <c r="P11" s="520" t="e">
        <f>MAX(0,ROUND((Queuing!S10/60)*CPCTq1,0))</f>
        <v>#N/A</v>
      </c>
      <c r="Q11" s="520" t="e">
        <f>MAX(0,ROUND((Queuing!T10/60)*CPRVq1,0))</f>
        <v>#N/A</v>
      </c>
      <c r="R11" s="518" t="e">
        <f t="shared" ref="R11:R33" si="3">SUM(N11:Q11)</f>
        <v>#N/A</v>
      </c>
      <c r="S11" s="519" t="e">
        <f>MAX(0,ROUND(Volumes!BV9*CPPCf1,0))</f>
        <v>#N/A</v>
      </c>
      <c r="T11" s="520" t="e">
        <f>MAX(0,ROUND(Volumes!BW9*CPSUf1,0))</f>
        <v>#N/A</v>
      </c>
      <c r="U11" s="520" t="e">
        <f>MAX(0,ROUND(Volumes!BX9*CPCTf1,0))</f>
        <v>#N/A</v>
      </c>
      <c r="V11" s="520" t="e">
        <f>MAX(0,ROUND(Volumes!BY9*CPRVf1,0))</f>
        <v>#N/A</v>
      </c>
      <c r="W11" s="518" t="e">
        <f t="shared" ref="W11:W33" si="4">SUM(S11:V11)</f>
        <v>#N/A</v>
      </c>
      <c r="X11" s="519" t="e">
        <f>MAX(0,ROUND(Volumes!CB9*CPPCd11,0))</f>
        <v>#N/A</v>
      </c>
      <c r="Y11" s="520" t="e">
        <f>MAX(0,ROUND(Volumes!CC9*CPSUd11,0))</f>
        <v>#N/A</v>
      </c>
      <c r="Z11" s="520" t="e">
        <f>MAX(0,ROUND(Volumes!CD9*CPCTd11,0))</f>
        <v>#N/A</v>
      </c>
      <c r="AA11" s="520" t="e">
        <f>MAX(0,ROUND(Volumes!CE9*CPRVd11,0))</f>
        <v>#N/A</v>
      </c>
      <c r="AB11" s="518" t="e">
        <f t="shared" ref="AB11:AB33" si="5">SUM(X11:AA11)</f>
        <v>#N/A</v>
      </c>
      <c r="AC11" s="519" t="e">
        <f>MAX(0,ROUND(Volumes!CH9*CPPCd21,0))</f>
        <v>#N/A</v>
      </c>
      <c r="AD11" s="520" t="e">
        <f>MAX(0,ROUND(Volumes!CI9*CPSUd21,0))</f>
        <v>#N/A</v>
      </c>
      <c r="AE11" s="520" t="e">
        <f>MAX(0,ROUND(Volumes!CJ9*CPCTd21,0))</f>
        <v>#N/A</v>
      </c>
      <c r="AF11" s="520" t="e">
        <f>MAX(0,ROUND(Volumes!CK9*CPRVd21,0))</f>
        <v>#N/A</v>
      </c>
      <c r="AG11" s="518" t="e">
        <f t="shared" ref="AG11:AG33" si="6">SUM(AC11:AF11)</f>
        <v>#N/A</v>
      </c>
      <c r="AH11" s="521" t="e">
        <f>MAX(0,ROUND(Volumes!CN9*CPPCd31,0))</f>
        <v>#N/A</v>
      </c>
      <c r="AI11" s="520" t="e">
        <f>MAX(0,ROUND(Volumes!CO9*CPSUd31,0))</f>
        <v>#N/A</v>
      </c>
      <c r="AJ11" s="520" t="e">
        <f>MAX(0,ROUND(Volumes!CP9*CPCTd31,0))</f>
        <v>#N/A</v>
      </c>
      <c r="AK11" s="520" t="e">
        <f>MAX(0,ROUND(Volumes!CQ9*CPRVd31,0))</f>
        <v>#N/A</v>
      </c>
      <c r="AL11" s="517" t="e">
        <f t="shared" ref="AL11:AL33" si="7">SUM(AH11:AK11)</f>
        <v>#N/A</v>
      </c>
    </row>
    <row r="12" spans="1:38" x14ac:dyDescent="0.25">
      <c r="A12" s="319"/>
      <c r="B12" s="314">
        <f t="shared" ref="B12:B33" si="8">IF(B11+TIME(1,0,0)=1,TIME(0,0,0),IF(B11+TIME(1,0,0)&gt;1,B11+TIME(1,0,0)-1,B11+TIME(1,0,0)))</f>
        <v>8.3333333333333329E-2</v>
      </c>
      <c r="C12" s="177" t="str">
        <f t="shared" si="0"/>
        <v>YES</v>
      </c>
      <c r="D12" s="522" t="e">
        <f t="shared" si="1"/>
        <v>#N/A</v>
      </c>
      <c r="E12" s="517" t="e">
        <f t="shared" si="1"/>
        <v>#N/A</v>
      </c>
      <c r="F12" s="517" t="e">
        <f t="shared" si="1"/>
        <v>#N/A</v>
      </c>
      <c r="G12" s="523" t="e">
        <f t="shared" si="1"/>
        <v>#N/A</v>
      </c>
      <c r="H12" s="518" t="e">
        <f t="shared" si="1"/>
        <v>#N/A</v>
      </c>
      <c r="I12" s="516" t="e">
        <f>MAX(0,ROUND(Volumes!BV10*CPPCwz1,0))</f>
        <v>#N/A</v>
      </c>
      <c r="J12" s="517" t="e">
        <f>MAX(0,ROUND(Volumes!BW10*CPSUwz1,0))</f>
        <v>#N/A</v>
      </c>
      <c r="K12" s="517" t="e">
        <f>MAX(0,ROUND(Volumes!BX10*CPCTwz1,0))</f>
        <v>#N/A</v>
      </c>
      <c r="L12" s="517" t="e">
        <f>MAX(0,ROUND(Volumes!BY10*CPRVwz1,0))</f>
        <v>#N/A</v>
      </c>
      <c r="M12" s="518" t="e">
        <f t="shared" si="2"/>
        <v>#N/A</v>
      </c>
      <c r="N12" s="519" t="e">
        <f>MAX(0,ROUND((Queuing!Q11/60)*CPPCq1,0))</f>
        <v>#N/A</v>
      </c>
      <c r="O12" s="520" t="e">
        <f>MAX(0,ROUND((Queuing!R11/60)*CPSUq1,0))</f>
        <v>#N/A</v>
      </c>
      <c r="P12" s="520" t="e">
        <f>MAX(0,ROUND((Queuing!S11/60)*CPCTq1,0))</f>
        <v>#N/A</v>
      </c>
      <c r="Q12" s="520" t="e">
        <f>MAX(0,ROUND((Queuing!T11/60)*CPRVq1,0))</f>
        <v>#N/A</v>
      </c>
      <c r="R12" s="518" t="e">
        <f t="shared" si="3"/>
        <v>#N/A</v>
      </c>
      <c r="S12" s="519" t="e">
        <f>MAX(0,ROUND(Volumes!BV10*CPPCf1,0))</f>
        <v>#N/A</v>
      </c>
      <c r="T12" s="520" t="e">
        <f>MAX(0,ROUND(Volumes!BW10*CPSUf1,0))</f>
        <v>#N/A</v>
      </c>
      <c r="U12" s="520" t="e">
        <f>MAX(0,ROUND(Volumes!BX10*CPCTf1,0))</f>
        <v>#N/A</v>
      </c>
      <c r="V12" s="520" t="e">
        <f>MAX(0,ROUND(Volumes!BY10*CPRVf1,0))</f>
        <v>#N/A</v>
      </c>
      <c r="W12" s="518" t="e">
        <f t="shared" si="4"/>
        <v>#N/A</v>
      </c>
      <c r="X12" s="519" t="e">
        <f>MAX(0,ROUND(Volumes!CB10*CPPCd11,0))</f>
        <v>#N/A</v>
      </c>
      <c r="Y12" s="520" t="e">
        <f>MAX(0,ROUND(Volumes!CC10*CPSUd11,0))</f>
        <v>#N/A</v>
      </c>
      <c r="Z12" s="520" t="e">
        <f>MAX(0,ROUND(Volumes!CD10*CPCTd11,0))</f>
        <v>#N/A</v>
      </c>
      <c r="AA12" s="520" t="e">
        <f>MAX(0,ROUND(Volumes!CE10*CPRVd11,0))</f>
        <v>#N/A</v>
      </c>
      <c r="AB12" s="518" t="e">
        <f t="shared" si="5"/>
        <v>#N/A</v>
      </c>
      <c r="AC12" s="519" t="e">
        <f>MAX(0,ROUND(Volumes!CH10*CPPCd21,0))</f>
        <v>#N/A</v>
      </c>
      <c r="AD12" s="520" t="e">
        <f>MAX(0,ROUND(Volumes!CI10*CPSUd21,0))</f>
        <v>#N/A</v>
      </c>
      <c r="AE12" s="520" t="e">
        <f>MAX(0,ROUND(Volumes!CJ10*CPCTd21,0))</f>
        <v>#N/A</v>
      </c>
      <c r="AF12" s="520" t="e">
        <f>MAX(0,ROUND(Volumes!CK10*CPRVd21,0))</f>
        <v>#N/A</v>
      </c>
      <c r="AG12" s="518" t="e">
        <f t="shared" si="6"/>
        <v>#N/A</v>
      </c>
      <c r="AH12" s="521" t="e">
        <f>MAX(0,ROUND(Volumes!CN10*CPPCd31,0))</f>
        <v>#N/A</v>
      </c>
      <c r="AI12" s="520" t="e">
        <f>MAX(0,ROUND(Volumes!CO10*CPSUd31,0))</f>
        <v>#N/A</v>
      </c>
      <c r="AJ12" s="520" t="e">
        <f>MAX(0,ROUND(Volumes!CP10*CPCTd31,0))</f>
        <v>#N/A</v>
      </c>
      <c r="AK12" s="520" t="e">
        <f>MAX(0,ROUND(Volumes!CQ10*CPRVd31,0))</f>
        <v>#N/A</v>
      </c>
      <c r="AL12" s="517" t="e">
        <f t="shared" si="7"/>
        <v>#N/A</v>
      </c>
    </row>
    <row r="13" spans="1:38" x14ac:dyDescent="0.25">
      <c r="A13" s="319"/>
      <c r="B13" s="314">
        <f t="shared" si="8"/>
        <v>0.125</v>
      </c>
      <c r="C13" s="177" t="str">
        <f t="shared" si="0"/>
        <v>YES</v>
      </c>
      <c r="D13" s="522" t="e">
        <f t="shared" si="1"/>
        <v>#N/A</v>
      </c>
      <c r="E13" s="517" t="e">
        <f t="shared" si="1"/>
        <v>#N/A</v>
      </c>
      <c r="F13" s="517" t="e">
        <f t="shared" si="1"/>
        <v>#N/A</v>
      </c>
      <c r="G13" s="523" t="e">
        <f t="shared" si="1"/>
        <v>#N/A</v>
      </c>
      <c r="H13" s="518" t="e">
        <f t="shared" si="1"/>
        <v>#N/A</v>
      </c>
      <c r="I13" s="516" t="e">
        <f>MAX(0,ROUND(Volumes!BV11*CPPCwz1,0))</f>
        <v>#N/A</v>
      </c>
      <c r="J13" s="517" t="e">
        <f>MAX(0,ROUND(Volumes!BW11*CPSUwz1,0))</f>
        <v>#N/A</v>
      </c>
      <c r="K13" s="517" t="e">
        <f>MAX(0,ROUND(Volumes!BX11*CPCTwz1,0))</f>
        <v>#N/A</v>
      </c>
      <c r="L13" s="517" t="e">
        <f>MAX(0,ROUND(Volumes!BY11*CPRVwz1,0))</f>
        <v>#N/A</v>
      </c>
      <c r="M13" s="518" t="e">
        <f t="shared" si="2"/>
        <v>#N/A</v>
      </c>
      <c r="N13" s="519" t="e">
        <f>MAX(0,ROUND((Queuing!Q12/60)*CPPCq1,0))</f>
        <v>#N/A</v>
      </c>
      <c r="O13" s="520" t="e">
        <f>MAX(0,ROUND((Queuing!R12/60)*CPSUq1,0))</f>
        <v>#N/A</v>
      </c>
      <c r="P13" s="520" t="e">
        <f>MAX(0,ROUND((Queuing!S12/60)*CPCTq1,0))</f>
        <v>#N/A</v>
      </c>
      <c r="Q13" s="520" t="e">
        <f>MAX(0,ROUND((Queuing!T12/60)*CPRVq1,0))</f>
        <v>#N/A</v>
      </c>
      <c r="R13" s="518" t="e">
        <f t="shared" si="3"/>
        <v>#N/A</v>
      </c>
      <c r="S13" s="519" t="e">
        <f>MAX(0,ROUND(Volumes!BV11*CPPCf1,0))</f>
        <v>#N/A</v>
      </c>
      <c r="T13" s="520" t="e">
        <f>MAX(0,ROUND(Volumes!BW11*CPSUf1,0))</f>
        <v>#N/A</v>
      </c>
      <c r="U13" s="520" t="e">
        <f>MAX(0,ROUND(Volumes!BX11*CPCTf1,0))</f>
        <v>#N/A</v>
      </c>
      <c r="V13" s="520" t="e">
        <f>MAX(0,ROUND(Volumes!BY11*CPRVf1,0))</f>
        <v>#N/A</v>
      </c>
      <c r="W13" s="518" t="e">
        <f t="shared" si="4"/>
        <v>#N/A</v>
      </c>
      <c r="X13" s="519" t="e">
        <f>MAX(0,ROUND(Volumes!CB11*CPPCd11,0))</f>
        <v>#N/A</v>
      </c>
      <c r="Y13" s="520" t="e">
        <f>MAX(0,ROUND(Volumes!CC11*CPSUd11,0))</f>
        <v>#N/A</v>
      </c>
      <c r="Z13" s="520" t="e">
        <f>MAX(0,ROUND(Volumes!CD11*CPCTd11,0))</f>
        <v>#N/A</v>
      </c>
      <c r="AA13" s="520" t="e">
        <f>MAX(0,ROUND(Volumes!CE11*CPRVd11,0))</f>
        <v>#N/A</v>
      </c>
      <c r="AB13" s="518" t="e">
        <f t="shared" si="5"/>
        <v>#N/A</v>
      </c>
      <c r="AC13" s="519" t="e">
        <f>MAX(0,ROUND(Volumes!CH11*CPPCd21,0))</f>
        <v>#N/A</v>
      </c>
      <c r="AD13" s="520" t="e">
        <f>MAX(0,ROUND(Volumes!CI11*CPSUd21,0))</f>
        <v>#N/A</v>
      </c>
      <c r="AE13" s="520" t="e">
        <f>MAX(0,ROUND(Volumes!CJ11*CPCTd21,0))</f>
        <v>#N/A</v>
      </c>
      <c r="AF13" s="520" t="e">
        <f>MAX(0,ROUND(Volumes!CK11*CPRVd21,0))</f>
        <v>#N/A</v>
      </c>
      <c r="AG13" s="518" t="e">
        <f t="shared" si="6"/>
        <v>#N/A</v>
      </c>
      <c r="AH13" s="521" t="e">
        <f>MAX(0,ROUND(Volumes!CN11*CPPCd31,0))</f>
        <v>#N/A</v>
      </c>
      <c r="AI13" s="520" t="e">
        <f>MAX(0,ROUND(Volumes!CO11*CPSUd31,0))</f>
        <v>#N/A</v>
      </c>
      <c r="AJ13" s="520" t="e">
        <f>MAX(0,ROUND(Volumes!CP11*CPCTd31,0))</f>
        <v>#N/A</v>
      </c>
      <c r="AK13" s="520" t="e">
        <f>MAX(0,ROUND(Volumes!CQ11*CPRVd31,0))</f>
        <v>#N/A</v>
      </c>
      <c r="AL13" s="517" t="e">
        <f t="shared" si="7"/>
        <v>#N/A</v>
      </c>
    </row>
    <row r="14" spans="1:38" x14ac:dyDescent="0.25">
      <c r="A14" s="319"/>
      <c r="B14" s="314">
        <f t="shared" si="8"/>
        <v>0.16666666666666666</v>
      </c>
      <c r="C14" s="177" t="str">
        <f t="shared" si="0"/>
        <v>YES</v>
      </c>
      <c r="D14" s="522" t="e">
        <f t="shared" si="1"/>
        <v>#N/A</v>
      </c>
      <c r="E14" s="517" t="e">
        <f t="shared" si="1"/>
        <v>#N/A</v>
      </c>
      <c r="F14" s="517" t="e">
        <f t="shared" si="1"/>
        <v>#N/A</v>
      </c>
      <c r="G14" s="523" t="e">
        <f t="shared" si="1"/>
        <v>#N/A</v>
      </c>
      <c r="H14" s="518" t="e">
        <f t="shared" si="1"/>
        <v>#N/A</v>
      </c>
      <c r="I14" s="516" t="e">
        <f>MAX(0,ROUND(Volumes!BV12*CPPCwz1,0))</f>
        <v>#N/A</v>
      </c>
      <c r="J14" s="517" t="e">
        <f>MAX(0,ROUND(Volumes!BW12*CPSUwz1,0))</f>
        <v>#N/A</v>
      </c>
      <c r="K14" s="517" t="e">
        <f>MAX(0,ROUND(Volumes!BX12*CPCTwz1,0))</f>
        <v>#N/A</v>
      </c>
      <c r="L14" s="517" t="e">
        <f>MAX(0,ROUND(Volumes!BY12*CPRVwz1,0))</f>
        <v>#N/A</v>
      </c>
      <c r="M14" s="518" t="e">
        <f t="shared" si="2"/>
        <v>#N/A</v>
      </c>
      <c r="N14" s="519" t="e">
        <f>MAX(0,ROUND((Queuing!Q13/60)*CPPCq1,0))</f>
        <v>#N/A</v>
      </c>
      <c r="O14" s="520" t="e">
        <f>MAX(0,ROUND((Queuing!R13/60)*CPSUq1,0))</f>
        <v>#N/A</v>
      </c>
      <c r="P14" s="520" t="e">
        <f>MAX(0,ROUND((Queuing!S13/60)*CPCTq1,0))</f>
        <v>#N/A</v>
      </c>
      <c r="Q14" s="520" t="e">
        <f>MAX(0,ROUND((Queuing!T13/60)*CPRVq1,0))</f>
        <v>#N/A</v>
      </c>
      <c r="R14" s="518" t="e">
        <f t="shared" si="3"/>
        <v>#N/A</v>
      </c>
      <c r="S14" s="519" t="e">
        <f>MAX(0,ROUND(Volumes!BV12*CPPCf1,0))</f>
        <v>#N/A</v>
      </c>
      <c r="T14" s="520" t="e">
        <f>MAX(0,ROUND(Volumes!BW12*CPSUf1,0))</f>
        <v>#N/A</v>
      </c>
      <c r="U14" s="520" t="e">
        <f>MAX(0,ROUND(Volumes!BX12*CPCTf1,0))</f>
        <v>#N/A</v>
      </c>
      <c r="V14" s="520" t="e">
        <f>MAX(0,ROUND(Volumes!BY12*CPRVf1,0))</f>
        <v>#N/A</v>
      </c>
      <c r="W14" s="518" t="e">
        <f t="shared" si="4"/>
        <v>#N/A</v>
      </c>
      <c r="X14" s="519" t="e">
        <f>MAX(0,ROUND(Volumes!CB12*CPPCd11,0))</f>
        <v>#N/A</v>
      </c>
      <c r="Y14" s="520" t="e">
        <f>MAX(0,ROUND(Volumes!CC12*CPSUd11,0))</f>
        <v>#N/A</v>
      </c>
      <c r="Z14" s="520" t="e">
        <f>MAX(0,ROUND(Volumes!CD12*CPCTd11,0))</f>
        <v>#N/A</v>
      </c>
      <c r="AA14" s="520" t="e">
        <f>MAX(0,ROUND(Volumes!CE12*CPRVd11,0))</f>
        <v>#N/A</v>
      </c>
      <c r="AB14" s="518" t="e">
        <f t="shared" si="5"/>
        <v>#N/A</v>
      </c>
      <c r="AC14" s="519" t="e">
        <f>MAX(0,ROUND(Volumes!CH12*CPPCd21,0))</f>
        <v>#N/A</v>
      </c>
      <c r="AD14" s="520" t="e">
        <f>MAX(0,ROUND(Volumes!CI12*CPSUd21,0))</f>
        <v>#N/A</v>
      </c>
      <c r="AE14" s="520" t="e">
        <f>MAX(0,ROUND(Volumes!CJ12*CPCTd21,0))</f>
        <v>#N/A</v>
      </c>
      <c r="AF14" s="520" t="e">
        <f>MAX(0,ROUND(Volumes!CK12*CPRVd21,0))</f>
        <v>#N/A</v>
      </c>
      <c r="AG14" s="518" t="e">
        <f t="shared" si="6"/>
        <v>#N/A</v>
      </c>
      <c r="AH14" s="521" t="e">
        <f>MAX(0,ROUND(Volumes!CN12*CPPCd31,0))</f>
        <v>#N/A</v>
      </c>
      <c r="AI14" s="520" t="e">
        <f>MAX(0,ROUND(Volumes!CO12*CPSUd31,0))</f>
        <v>#N/A</v>
      </c>
      <c r="AJ14" s="520" t="e">
        <f>MAX(0,ROUND(Volumes!CP12*CPCTd31,0))</f>
        <v>#N/A</v>
      </c>
      <c r="AK14" s="520" t="e">
        <f>MAX(0,ROUND(Volumes!CQ12*CPRVd31,0))</f>
        <v>#N/A</v>
      </c>
      <c r="AL14" s="517" t="e">
        <f t="shared" si="7"/>
        <v>#N/A</v>
      </c>
    </row>
    <row r="15" spans="1:38" x14ac:dyDescent="0.25">
      <c r="A15" s="319"/>
      <c r="B15" s="314">
        <f t="shared" si="8"/>
        <v>0.20833333333333331</v>
      </c>
      <c r="C15" s="177" t="str">
        <f t="shared" si="0"/>
        <v>YES</v>
      </c>
      <c r="D15" s="522" t="e">
        <f t="shared" si="1"/>
        <v>#N/A</v>
      </c>
      <c r="E15" s="517" t="e">
        <f t="shared" si="1"/>
        <v>#N/A</v>
      </c>
      <c r="F15" s="517" t="e">
        <f t="shared" si="1"/>
        <v>#N/A</v>
      </c>
      <c r="G15" s="523" t="e">
        <f t="shared" si="1"/>
        <v>#N/A</v>
      </c>
      <c r="H15" s="518" t="e">
        <f t="shared" si="1"/>
        <v>#N/A</v>
      </c>
      <c r="I15" s="516" t="e">
        <f>MAX(0,ROUND(Volumes!BV13*CPPCwz1,0))</f>
        <v>#N/A</v>
      </c>
      <c r="J15" s="517" t="e">
        <f>MAX(0,ROUND(Volumes!BW13*CPSUwz1,0))</f>
        <v>#N/A</v>
      </c>
      <c r="K15" s="517" t="e">
        <f>MAX(0,ROUND(Volumes!BX13*CPCTwz1,0))</f>
        <v>#N/A</v>
      </c>
      <c r="L15" s="517" t="e">
        <f>MAX(0,ROUND(Volumes!BY13*CPRVwz1,0))</f>
        <v>#N/A</v>
      </c>
      <c r="M15" s="518" t="e">
        <f t="shared" si="2"/>
        <v>#N/A</v>
      </c>
      <c r="N15" s="519" t="e">
        <f>MAX(0,ROUND((Queuing!Q14/60)*CPPCq1,0))</f>
        <v>#N/A</v>
      </c>
      <c r="O15" s="520" t="e">
        <f>MAX(0,ROUND((Queuing!R14/60)*CPSUq1,0))</f>
        <v>#N/A</v>
      </c>
      <c r="P15" s="520" t="e">
        <f>MAX(0,ROUND((Queuing!S14/60)*CPCTq1,0))</f>
        <v>#N/A</v>
      </c>
      <c r="Q15" s="520" t="e">
        <f>MAX(0,ROUND((Queuing!T14/60)*CPRVq1,0))</f>
        <v>#N/A</v>
      </c>
      <c r="R15" s="518" t="e">
        <f t="shared" si="3"/>
        <v>#N/A</v>
      </c>
      <c r="S15" s="519" t="e">
        <f>MAX(0,ROUND(Volumes!BV13*CPPCf1,0))</f>
        <v>#N/A</v>
      </c>
      <c r="T15" s="520" t="e">
        <f>MAX(0,ROUND(Volumes!BW13*CPSUf1,0))</f>
        <v>#N/A</v>
      </c>
      <c r="U15" s="520" t="e">
        <f>MAX(0,ROUND(Volumes!BX13*CPCTf1,0))</f>
        <v>#N/A</v>
      </c>
      <c r="V15" s="520" t="e">
        <f>MAX(0,ROUND(Volumes!BY13*CPRVf1,0))</f>
        <v>#N/A</v>
      </c>
      <c r="W15" s="518" t="e">
        <f t="shared" si="4"/>
        <v>#N/A</v>
      </c>
      <c r="X15" s="519" t="e">
        <f>MAX(0,ROUND(Volumes!CB13*CPPCd11,0))</f>
        <v>#N/A</v>
      </c>
      <c r="Y15" s="520" t="e">
        <f>MAX(0,ROUND(Volumes!CC13*CPSUd11,0))</f>
        <v>#N/A</v>
      </c>
      <c r="Z15" s="520" t="e">
        <f>MAX(0,ROUND(Volumes!CD13*CPCTd11,0))</f>
        <v>#N/A</v>
      </c>
      <c r="AA15" s="520" t="e">
        <f>MAX(0,ROUND(Volumes!CE13*CPRVd11,0))</f>
        <v>#N/A</v>
      </c>
      <c r="AB15" s="518" t="e">
        <f t="shared" si="5"/>
        <v>#N/A</v>
      </c>
      <c r="AC15" s="519" t="e">
        <f>MAX(0,ROUND(Volumes!CH13*CPPCd21,0))</f>
        <v>#N/A</v>
      </c>
      <c r="AD15" s="520" t="e">
        <f>MAX(0,ROUND(Volumes!CI13*CPSUd21,0))</f>
        <v>#N/A</v>
      </c>
      <c r="AE15" s="520" t="e">
        <f>MAX(0,ROUND(Volumes!CJ13*CPCTd21,0))</f>
        <v>#N/A</v>
      </c>
      <c r="AF15" s="520" t="e">
        <f>MAX(0,ROUND(Volumes!CK13*CPRVd21,0))</f>
        <v>#N/A</v>
      </c>
      <c r="AG15" s="518" t="e">
        <f t="shared" si="6"/>
        <v>#N/A</v>
      </c>
      <c r="AH15" s="521" t="e">
        <f>MAX(0,ROUND(Volumes!CN13*CPPCd31,0))</f>
        <v>#N/A</v>
      </c>
      <c r="AI15" s="520" t="e">
        <f>MAX(0,ROUND(Volumes!CO13*CPSUd31,0))</f>
        <v>#N/A</v>
      </c>
      <c r="AJ15" s="520" t="e">
        <f>MAX(0,ROUND(Volumes!CP13*CPCTd31,0))</f>
        <v>#N/A</v>
      </c>
      <c r="AK15" s="520" t="e">
        <f>MAX(0,ROUND(Volumes!CQ13*CPRVd31,0))</f>
        <v>#N/A</v>
      </c>
      <c r="AL15" s="517" t="e">
        <f t="shared" si="7"/>
        <v>#N/A</v>
      </c>
    </row>
    <row r="16" spans="1:38" x14ac:dyDescent="0.25">
      <c r="A16" s="319"/>
      <c r="B16" s="314">
        <f t="shared" si="8"/>
        <v>0.24999999999999997</v>
      </c>
      <c r="C16" s="177" t="str">
        <f t="shared" si="0"/>
        <v>YES</v>
      </c>
      <c r="D16" s="522" t="e">
        <f t="shared" si="1"/>
        <v>#N/A</v>
      </c>
      <c r="E16" s="517" t="e">
        <f t="shared" si="1"/>
        <v>#N/A</v>
      </c>
      <c r="F16" s="517" t="e">
        <f t="shared" si="1"/>
        <v>#N/A</v>
      </c>
      <c r="G16" s="523" t="e">
        <f t="shared" si="1"/>
        <v>#N/A</v>
      </c>
      <c r="H16" s="518" t="e">
        <f t="shared" si="1"/>
        <v>#N/A</v>
      </c>
      <c r="I16" s="516" t="e">
        <f>MAX(0,ROUND(Volumes!BV14*CPPCwz1,0))</f>
        <v>#N/A</v>
      </c>
      <c r="J16" s="517" t="e">
        <f>MAX(0,ROUND(Volumes!BW14*CPSUwz1,0))</f>
        <v>#N/A</v>
      </c>
      <c r="K16" s="517" t="e">
        <f>MAX(0,ROUND(Volumes!BX14*CPCTwz1,0))</f>
        <v>#N/A</v>
      </c>
      <c r="L16" s="517" t="e">
        <f>MAX(0,ROUND(Volumes!BY14*CPRVwz1,0))</f>
        <v>#N/A</v>
      </c>
      <c r="M16" s="518" t="e">
        <f t="shared" si="2"/>
        <v>#N/A</v>
      </c>
      <c r="N16" s="519" t="e">
        <f>MAX(0,ROUND((Queuing!Q15/60)*CPPCq1,0))</f>
        <v>#N/A</v>
      </c>
      <c r="O16" s="520" t="e">
        <f>MAX(0,ROUND((Queuing!R15/60)*CPSUq1,0))</f>
        <v>#N/A</v>
      </c>
      <c r="P16" s="520" t="e">
        <f>MAX(0,ROUND((Queuing!S15/60)*CPCTq1,0))</f>
        <v>#N/A</v>
      </c>
      <c r="Q16" s="520" t="e">
        <f>MAX(0,ROUND((Queuing!T15/60)*CPRVq1,0))</f>
        <v>#N/A</v>
      </c>
      <c r="R16" s="518" t="e">
        <f t="shared" si="3"/>
        <v>#N/A</v>
      </c>
      <c r="S16" s="519" t="e">
        <f>MAX(0,ROUND(Volumes!BV14*CPPCf1,0))</f>
        <v>#N/A</v>
      </c>
      <c r="T16" s="520" t="e">
        <f>MAX(0,ROUND(Volumes!BW14*CPSUf1,0))</f>
        <v>#N/A</v>
      </c>
      <c r="U16" s="520" t="e">
        <f>MAX(0,ROUND(Volumes!BX14*CPCTf1,0))</f>
        <v>#N/A</v>
      </c>
      <c r="V16" s="520" t="e">
        <f>MAX(0,ROUND(Volumes!BY14*CPRVf1,0))</f>
        <v>#N/A</v>
      </c>
      <c r="W16" s="518" t="e">
        <f t="shared" si="4"/>
        <v>#N/A</v>
      </c>
      <c r="X16" s="519" t="e">
        <f>MAX(0,ROUND(Volumes!CB14*CPPCd11,0))</f>
        <v>#N/A</v>
      </c>
      <c r="Y16" s="520" t="e">
        <f>MAX(0,ROUND(Volumes!CC14*CPSUd11,0))</f>
        <v>#N/A</v>
      </c>
      <c r="Z16" s="520" t="e">
        <f>MAX(0,ROUND(Volumes!CD14*CPCTd11,0))</f>
        <v>#N/A</v>
      </c>
      <c r="AA16" s="520" t="e">
        <f>MAX(0,ROUND(Volumes!CE14*CPRVd11,0))</f>
        <v>#N/A</v>
      </c>
      <c r="AB16" s="518" t="e">
        <f t="shared" si="5"/>
        <v>#N/A</v>
      </c>
      <c r="AC16" s="519" t="e">
        <f>MAX(0,ROUND(Volumes!CH14*CPPCd21,0))</f>
        <v>#N/A</v>
      </c>
      <c r="AD16" s="520" t="e">
        <f>MAX(0,ROUND(Volumes!CI14*CPSUd21,0))</f>
        <v>#N/A</v>
      </c>
      <c r="AE16" s="520" t="e">
        <f>MAX(0,ROUND(Volumes!CJ14*CPCTd21,0))</f>
        <v>#N/A</v>
      </c>
      <c r="AF16" s="520" t="e">
        <f>MAX(0,ROUND(Volumes!CK14*CPRVd21,0))</f>
        <v>#N/A</v>
      </c>
      <c r="AG16" s="518" t="e">
        <f t="shared" si="6"/>
        <v>#N/A</v>
      </c>
      <c r="AH16" s="521" t="e">
        <f>MAX(0,ROUND(Volumes!CN14*CPPCd31,0))</f>
        <v>#N/A</v>
      </c>
      <c r="AI16" s="520" t="e">
        <f>MAX(0,ROUND(Volumes!CO14*CPSUd31,0))</f>
        <v>#N/A</v>
      </c>
      <c r="AJ16" s="520" t="e">
        <f>MAX(0,ROUND(Volumes!CP14*CPCTd31,0))</f>
        <v>#N/A</v>
      </c>
      <c r="AK16" s="520" t="e">
        <f>MAX(0,ROUND(Volumes!CQ14*CPRVd31,0))</f>
        <v>#N/A</v>
      </c>
      <c r="AL16" s="517" t="e">
        <f t="shared" si="7"/>
        <v>#N/A</v>
      </c>
    </row>
    <row r="17" spans="1:38" x14ac:dyDescent="0.25">
      <c r="A17" s="319"/>
      <c r="B17" s="314">
        <f t="shared" si="8"/>
        <v>0.29166666666666663</v>
      </c>
      <c r="C17" s="177" t="str">
        <f t="shared" si="0"/>
        <v>YES</v>
      </c>
      <c r="D17" s="522" t="e">
        <f t="shared" si="1"/>
        <v>#N/A</v>
      </c>
      <c r="E17" s="517" t="e">
        <f t="shared" si="1"/>
        <v>#N/A</v>
      </c>
      <c r="F17" s="517" t="e">
        <f t="shared" si="1"/>
        <v>#N/A</v>
      </c>
      <c r="G17" s="523" t="e">
        <f t="shared" si="1"/>
        <v>#N/A</v>
      </c>
      <c r="H17" s="518" t="e">
        <f t="shared" si="1"/>
        <v>#N/A</v>
      </c>
      <c r="I17" s="516" t="e">
        <f>MAX(0,ROUND(Volumes!BV15*CPPCwz1,0))</f>
        <v>#N/A</v>
      </c>
      <c r="J17" s="517" t="e">
        <f>MAX(0,ROUND(Volumes!BW15*CPSUwz1,0))</f>
        <v>#N/A</v>
      </c>
      <c r="K17" s="517" t="e">
        <f>MAX(0,ROUND(Volumes!BX15*CPCTwz1,0))</f>
        <v>#N/A</v>
      </c>
      <c r="L17" s="517" t="e">
        <f>MAX(0,ROUND(Volumes!BY15*CPRVwz1,0))</f>
        <v>#N/A</v>
      </c>
      <c r="M17" s="518" t="e">
        <f t="shared" si="2"/>
        <v>#N/A</v>
      </c>
      <c r="N17" s="519" t="e">
        <f>MAX(0,ROUND((Queuing!Q16/60)*CPPCq1,0))</f>
        <v>#N/A</v>
      </c>
      <c r="O17" s="520" t="e">
        <f>MAX(0,ROUND((Queuing!R16/60)*CPSUq1,0))</f>
        <v>#N/A</v>
      </c>
      <c r="P17" s="520" t="e">
        <f>MAX(0,ROUND((Queuing!S16/60)*CPCTq1,0))</f>
        <v>#N/A</v>
      </c>
      <c r="Q17" s="520" t="e">
        <f>MAX(0,ROUND((Queuing!T16/60)*CPRVq1,0))</f>
        <v>#N/A</v>
      </c>
      <c r="R17" s="518" t="e">
        <f t="shared" si="3"/>
        <v>#N/A</v>
      </c>
      <c r="S17" s="519" t="e">
        <f>MAX(0,ROUND(Volumes!BV15*CPPCf1,0))</f>
        <v>#N/A</v>
      </c>
      <c r="T17" s="520" t="e">
        <f>MAX(0,ROUND(Volumes!BW15*CPSUf1,0))</f>
        <v>#N/A</v>
      </c>
      <c r="U17" s="520" t="e">
        <f>MAX(0,ROUND(Volumes!BX15*CPCTf1,0))</f>
        <v>#N/A</v>
      </c>
      <c r="V17" s="520" t="e">
        <f>MAX(0,ROUND(Volumes!BY15*CPRVf1,0))</f>
        <v>#N/A</v>
      </c>
      <c r="W17" s="518" t="e">
        <f t="shared" si="4"/>
        <v>#N/A</v>
      </c>
      <c r="X17" s="519" t="e">
        <f>MAX(0,ROUND(Volumes!CB15*CPPCd11,0))</f>
        <v>#N/A</v>
      </c>
      <c r="Y17" s="520" t="e">
        <f>MAX(0,ROUND(Volumes!CC15*CPSUd11,0))</f>
        <v>#N/A</v>
      </c>
      <c r="Z17" s="520" t="e">
        <f>MAX(0,ROUND(Volumes!CD15*CPCTd11,0))</f>
        <v>#N/A</v>
      </c>
      <c r="AA17" s="520" t="e">
        <f>MAX(0,ROUND(Volumes!CE15*CPRVd11,0))</f>
        <v>#N/A</v>
      </c>
      <c r="AB17" s="518" t="e">
        <f t="shared" si="5"/>
        <v>#N/A</v>
      </c>
      <c r="AC17" s="519" t="e">
        <f>MAX(0,ROUND(Volumes!CH15*CPPCd21,0))</f>
        <v>#N/A</v>
      </c>
      <c r="AD17" s="520" t="e">
        <f>MAX(0,ROUND(Volumes!CI15*CPSUd21,0))</f>
        <v>#N/A</v>
      </c>
      <c r="AE17" s="520" t="e">
        <f>MAX(0,ROUND(Volumes!CJ15*CPCTd21,0))</f>
        <v>#N/A</v>
      </c>
      <c r="AF17" s="520" t="e">
        <f>MAX(0,ROUND(Volumes!CK15*CPRVd21,0))</f>
        <v>#N/A</v>
      </c>
      <c r="AG17" s="518" t="e">
        <f t="shared" si="6"/>
        <v>#N/A</v>
      </c>
      <c r="AH17" s="521" t="e">
        <f>MAX(0,ROUND(Volumes!CN15*CPPCd31,0))</f>
        <v>#N/A</v>
      </c>
      <c r="AI17" s="520" t="e">
        <f>MAX(0,ROUND(Volumes!CO15*CPSUd31,0))</f>
        <v>#N/A</v>
      </c>
      <c r="AJ17" s="520" t="e">
        <f>MAX(0,ROUND(Volumes!CP15*CPCTd31,0))</f>
        <v>#N/A</v>
      </c>
      <c r="AK17" s="520" t="e">
        <f>MAX(0,ROUND(Volumes!CQ15*CPRVd31,0))</f>
        <v>#N/A</v>
      </c>
      <c r="AL17" s="517" t="e">
        <f t="shared" si="7"/>
        <v>#N/A</v>
      </c>
    </row>
    <row r="18" spans="1:38" x14ac:dyDescent="0.25">
      <c r="A18" s="319"/>
      <c r="B18" s="314">
        <f t="shared" si="8"/>
        <v>0.33333333333333331</v>
      </c>
      <c r="C18" s="177" t="str">
        <f t="shared" si="0"/>
        <v>YES</v>
      </c>
      <c r="D18" s="522" t="e">
        <f t="shared" si="1"/>
        <v>#N/A</v>
      </c>
      <c r="E18" s="517" t="e">
        <f t="shared" si="1"/>
        <v>#N/A</v>
      </c>
      <c r="F18" s="517" t="e">
        <f t="shared" si="1"/>
        <v>#N/A</v>
      </c>
      <c r="G18" s="523" t="e">
        <f t="shared" si="1"/>
        <v>#N/A</v>
      </c>
      <c r="H18" s="518" t="e">
        <f t="shared" si="1"/>
        <v>#N/A</v>
      </c>
      <c r="I18" s="516" t="e">
        <f>MAX(0,ROUND(Volumes!BV16*CPPCwz1,0))</f>
        <v>#N/A</v>
      </c>
      <c r="J18" s="517" t="e">
        <f>MAX(0,ROUND(Volumes!BW16*CPSUwz1,0))</f>
        <v>#N/A</v>
      </c>
      <c r="K18" s="517" t="e">
        <f>MAX(0,ROUND(Volumes!BX16*CPCTwz1,0))</f>
        <v>#N/A</v>
      </c>
      <c r="L18" s="517" t="e">
        <f>MAX(0,ROUND(Volumes!BY16*CPRVwz1,0))</f>
        <v>#N/A</v>
      </c>
      <c r="M18" s="518" t="e">
        <f t="shared" si="2"/>
        <v>#N/A</v>
      </c>
      <c r="N18" s="519" t="e">
        <f>MAX(0,ROUND((Queuing!Q17/60)*CPPCq1,0))</f>
        <v>#N/A</v>
      </c>
      <c r="O18" s="520" t="e">
        <f>MAX(0,ROUND((Queuing!R17/60)*CPSUq1,0))</f>
        <v>#N/A</v>
      </c>
      <c r="P18" s="520" t="e">
        <f>MAX(0,ROUND((Queuing!S17/60)*CPCTq1,0))</f>
        <v>#N/A</v>
      </c>
      <c r="Q18" s="520" t="e">
        <f>MAX(0,ROUND((Queuing!T17/60)*CPRVq1,0))</f>
        <v>#N/A</v>
      </c>
      <c r="R18" s="518" t="e">
        <f t="shared" si="3"/>
        <v>#N/A</v>
      </c>
      <c r="S18" s="519" t="e">
        <f>MAX(0,ROUND(Volumes!BV16*CPPCf1,0))</f>
        <v>#N/A</v>
      </c>
      <c r="T18" s="520" t="e">
        <f>MAX(0,ROUND(Volumes!BW16*CPSUf1,0))</f>
        <v>#N/A</v>
      </c>
      <c r="U18" s="520" t="e">
        <f>MAX(0,ROUND(Volumes!BX16*CPCTf1,0))</f>
        <v>#N/A</v>
      </c>
      <c r="V18" s="520" t="e">
        <f>MAX(0,ROUND(Volumes!BY16*CPRVf1,0))</f>
        <v>#N/A</v>
      </c>
      <c r="W18" s="518" t="e">
        <f t="shared" si="4"/>
        <v>#N/A</v>
      </c>
      <c r="X18" s="519" t="e">
        <f>MAX(0,ROUND(Volumes!CB16*CPPCd11,0))</f>
        <v>#N/A</v>
      </c>
      <c r="Y18" s="520" t="e">
        <f>MAX(0,ROUND(Volumes!CC16*CPSUd11,0))</f>
        <v>#N/A</v>
      </c>
      <c r="Z18" s="520" t="e">
        <f>MAX(0,ROUND(Volumes!CD16*CPCTd11,0))</f>
        <v>#N/A</v>
      </c>
      <c r="AA18" s="520" t="e">
        <f>MAX(0,ROUND(Volumes!CE16*CPRVd11,0))</f>
        <v>#N/A</v>
      </c>
      <c r="AB18" s="518" t="e">
        <f t="shared" si="5"/>
        <v>#N/A</v>
      </c>
      <c r="AC18" s="519" t="e">
        <f>MAX(0,ROUND(Volumes!CH16*CPPCd21,0))</f>
        <v>#N/A</v>
      </c>
      <c r="AD18" s="520" t="e">
        <f>MAX(0,ROUND(Volumes!CI16*CPSUd21,0))</f>
        <v>#N/A</v>
      </c>
      <c r="AE18" s="520" t="e">
        <f>MAX(0,ROUND(Volumes!CJ16*CPCTd21,0))</f>
        <v>#N/A</v>
      </c>
      <c r="AF18" s="520" t="e">
        <f>MAX(0,ROUND(Volumes!CK16*CPRVd21,0))</f>
        <v>#N/A</v>
      </c>
      <c r="AG18" s="518" t="e">
        <f t="shared" si="6"/>
        <v>#N/A</v>
      </c>
      <c r="AH18" s="521" t="e">
        <f>MAX(0,ROUND(Volumes!CN16*CPPCd31,0))</f>
        <v>#N/A</v>
      </c>
      <c r="AI18" s="520" t="e">
        <f>MAX(0,ROUND(Volumes!CO16*CPSUd31,0))</f>
        <v>#N/A</v>
      </c>
      <c r="AJ18" s="520" t="e">
        <f>MAX(0,ROUND(Volumes!CP16*CPCTd31,0))</f>
        <v>#N/A</v>
      </c>
      <c r="AK18" s="520" t="e">
        <f>MAX(0,ROUND(Volumes!CQ16*CPRVd31,0))</f>
        <v>#N/A</v>
      </c>
      <c r="AL18" s="517" t="e">
        <f t="shared" si="7"/>
        <v>#N/A</v>
      </c>
    </row>
    <row r="19" spans="1:38" x14ac:dyDescent="0.25">
      <c r="A19" s="319"/>
      <c r="B19" s="314">
        <f t="shared" si="8"/>
        <v>0.375</v>
      </c>
      <c r="C19" s="177" t="str">
        <f t="shared" si="0"/>
        <v>YES</v>
      </c>
      <c r="D19" s="522" t="e">
        <f t="shared" si="1"/>
        <v>#N/A</v>
      </c>
      <c r="E19" s="517" t="e">
        <f t="shared" si="1"/>
        <v>#N/A</v>
      </c>
      <c r="F19" s="517" t="e">
        <f t="shared" si="1"/>
        <v>#N/A</v>
      </c>
      <c r="G19" s="523" t="e">
        <f t="shared" si="1"/>
        <v>#N/A</v>
      </c>
      <c r="H19" s="518" t="e">
        <f t="shared" si="1"/>
        <v>#N/A</v>
      </c>
      <c r="I19" s="516" t="e">
        <f>MAX(0,ROUND(Volumes!BV17*CPPCwz1,0))</f>
        <v>#N/A</v>
      </c>
      <c r="J19" s="517" t="e">
        <f>MAX(0,ROUND(Volumes!BW17*CPSUwz1,0))</f>
        <v>#N/A</v>
      </c>
      <c r="K19" s="517" t="e">
        <f>MAX(0,ROUND(Volumes!BX17*CPCTwz1,0))</f>
        <v>#N/A</v>
      </c>
      <c r="L19" s="517" t="e">
        <f>MAX(0,ROUND(Volumes!BY17*CPRVwz1,0))</f>
        <v>#N/A</v>
      </c>
      <c r="M19" s="518" t="e">
        <f t="shared" si="2"/>
        <v>#N/A</v>
      </c>
      <c r="N19" s="519" t="e">
        <f>MAX(0,ROUND((Queuing!Q18/60)*CPPCq1,0))</f>
        <v>#N/A</v>
      </c>
      <c r="O19" s="520" t="e">
        <f>MAX(0,ROUND((Queuing!R18/60)*CPSUq1,0))</f>
        <v>#N/A</v>
      </c>
      <c r="P19" s="520" t="e">
        <f>MAX(0,ROUND((Queuing!S18/60)*CPCTq1,0))</f>
        <v>#N/A</v>
      </c>
      <c r="Q19" s="520" t="e">
        <f>MAX(0,ROUND((Queuing!T18/60)*CPRVq1,0))</f>
        <v>#N/A</v>
      </c>
      <c r="R19" s="518" t="e">
        <f t="shared" si="3"/>
        <v>#N/A</v>
      </c>
      <c r="S19" s="519" t="e">
        <f>MAX(0,ROUND(Volumes!BV17*CPPCf1,0))</f>
        <v>#N/A</v>
      </c>
      <c r="T19" s="520" t="e">
        <f>MAX(0,ROUND(Volumes!BW17*CPSUf1,0))</f>
        <v>#N/A</v>
      </c>
      <c r="U19" s="520" t="e">
        <f>MAX(0,ROUND(Volumes!BX17*CPCTf1,0))</f>
        <v>#N/A</v>
      </c>
      <c r="V19" s="520" t="e">
        <f>MAX(0,ROUND(Volumes!BY17*CPRVf1,0))</f>
        <v>#N/A</v>
      </c>
      <c r="W19" s="518" t="e">
        <f t="shared" si="4"/>
        <v>#N/A</v>
      </c>
      <c r="X19" s="519" t="e">
        <f>MAX(0,ROUND(Volumes!CB17*CPPCd11,0))</f>
        <v>#N/A</v>
      </c>
      <c r="Y19" s="520" t="e">
        <f>MAX(0,ROUND(Volumes!CC17*CPSUd11,0))</f>
        <v>#N/A</v>
      </c>
      <c r="Z19" s="520" t="e">
        <f>MAX(0,ROUND(Volumes!CD17*CPCTd11,0))</f>
        <v>#N/A</v>
      </c>
      <c r="AA19" s="520" t="e">
        <f>MAX(0,ROUND(Volumes!CE17*CPRVd11,0))</f>
        <v>#N/A</v>
      </c>
      <c r="AB19" s="518" t="e">
        <f t="shared" si="5"/>
        <v>#N/A</v>
      </c>
      <c r="AC19" s="519" t="e">
        <f>MAX(0,ROUND(Volumes!CH17*CPPCd21,0))</f>
        <v>#N/A</v>
      </c>
      <c r="AD19" s="520" t="e">
        <f>MAX(0,ROUND(Volumes!CI17*CPSUd21,0))</f>
        <v>#N/A</v>
      </c>
      <c r="AE19" s="520" t="e">
        <f>MAX(0,ROUND(Volumes!CJ17*CPCTd21,0))</f>
        <v>#N/A</v>
      </c>
      <c r="AF19" s="520" t="e">
        <f>MAX(0,ROUND(Volumes!CK17*CPRVd21,0))</f>
        <v>#N/A</v>
      </c>
      <c r="AG19" s="518" t="e">
        <f t="shared" si="6"/>
        <v>#N/A</v>
      </c>
      <c r="AH19" s="521" t="e">
        <f>MAX(0,ROUND(Volumes!CN17*CPPCd31,0))</f>
        <v>#N/A</v>
      </c>
      <c r="AI19" s="520" t="e">
        <f>MAX(0,ROUND(Volumes!CO17*CPSUd31,0))</f>
        <v>#N/A</v>
      </c>
      <c r="AJ19" s="520" t="e">
        <f>MAX(0,ROUND(Volumes!CP17*CPCTd31,0))</f>
        <v>#N/A</v>
      </c>
      <c r="AK19" s="520" t="e">
        <f>MAX(0,ROUND(Volumes!CQ17*CPRVd31,0))</f>
        <v>#N/A</v>
      </c>
      <c r="AL19" s="517" t="e">
        <f t="shared" si="7"/>
        <v>#N/A</v>
      </c>
    </row>
    <row r="20" spans="1:38" x14ac:dyDescent="0.25">
      <c r="A20" s="319"/>
      <c r="B20" s="314">
        <f t="shared" si="8"/>
        <v>0.41666666666666669</v>
      </c>
      <c r="C20" s="177" t="str">
        <f t="shared" si="0"/>
        <v>YES</v>
      </c>
      <c r="D20" s="522" t="e">
        <f t="shared" si="1"/>
        <v>#N/A</v>
      </c>
      <c r="E20" s="517" t="e">
        <f t="shared" si="1"/>
        <v>#N/A</v>
      </c>
      <c r="F20" s="517" t="e">
        <f t="shared" si="1"/>
        <v>#N/A</v>
      </c>
      <c r="G20" s="523" t="e">
        <f t="shared" si="1"/>
        <v>#N/A</v>
      </c>
      <c r="H20" s="518" t="e">
        <f t="shared" si="1"/>
        <v>#N/A</v>
      </c>
      <c r="I20" s="516" t="e">
        <f>MAX(0,ROUND(Volumes!BV18*CPPCwz1,0))</f>
        <v>#N/A</v>
      </c>
      <c r="J20" s="517" t="e">
        <f>MAX(0,ROUND(Volumes!BW18*CPSUwz1,0))</f>
        <v>#N/A</v>
      </c>
      <c r="K20" s="517" t="e">
        <f>MAX(0,ROUND(Volumes!BX18*CPCTwz1,0))</f>
        <v>#N/A</v>
      </c>
      <c r="L20" s="517" t="e">
        <f>MAX(0,ROUND(Volumes!BY18*CPRVwz1,0))</f>
        <v>#N/A</v>
      </c>
      <c r="M20" s="518" t="e">
        <f t="shared" si="2"/>
        <v>#N/A</v>
      </c>
      <c r="N20" s="519" t="e">
        <f>MAX(0,ROUND((Queuing!Q19/60)*CPPCq1,0))</f>
        <v>#N/A</v>
      </c>
      <c r="O20" s="520" t="e">
        <f>MAX(0,ROUND((Queuing!R19/60)*CPSUq1,0))</f>
        <v>#N/A</v>
      </c>
      <c r="P20" s="520" t="e">
        <f>MAX(0,ROUND((Queuing!S19/60)*CPCTq1,0))</f>
        <v>#N/A</v>
      </c>
      <c r="Q20" s="520" t="e">
        <f>MAX(0,ROUND((Queuing!T19/60)*CPRVq1,0))</f>
        <v>#N/A</v>
      </c>
      <c r="R20" s="518" t="e">
        <f t="shared" si="3"/>
        <v>#N/A</v>
      </c>
      <c r="S20" s="519" t="e">
        <f>MAX(0,ROUND(Volumes!BV18*CPPCf1,0))</f>
        <v>#N/A</v>
      </c>
      <c r="T20" s="520" t="e">
        <f>MAX(0,ROUND(Volumes!BW18*CPSUf1,0))</f>
        <v>#N/A</v>
      </c>
      <c r="U20" s="520" t="e">
        <f>MAX(0,ROUND(Volumes!BX18*CPCTf1,0))</f>
        <v>#N/A</v>
      </c>
      <c r="V20" s="520" t="e">
        <f>MAX(0,ROUND(Volumes!BY18*CPRVf1,0))</f>
        <v>#N/A</v>
      </c>
      <c r="W20" s="518" t="e">
        <f t="shared" si="4"/>
        <v>#N/A</v>
      </c>
      <c r="X20" s="519" t="e">
        <f>MAX(0,ROUND(Volumes!CB18*CPPCd11,0))</f>
        <v>#N/A</v>
      </c>
      <c r="Y20" s="520" t="e">
        <f>MAX(0,ROUND(Volumes!CC18*CPSUd11,0))</f>
        <v>#N/A</v>
      </c>
      <c r="Z20" s="520" t="e">
        <f>MAX(0,ROUND(Volumes!CD18*CPCTd11,0))</f>
        <v>#N/A</v>
      </c>
      <c r="AA20" s="520" t="e">
        <f>MAX(0,ROUND(Volumes!CE18*CPRVd11,0))</f>
        <v>#N/A</v>
      </c>
      <c r="AB20" s="518" t="e">
        <f t="shared" si="5"/>
        <v>#N/A</v>
      </c>
      <c r="AC20" s="519" t="e">
        <f>MAX(0,ROUND(Volumes!CH18*CPPCd21,0))</f>
        <v>#N/A</v>
      </c>
      <c r="AD20" s="520" t="e">
        <f>MAX(0,ROUND(Volumes!CI18*CPSUd21,0))</f>
        <v>#N/A</v>
      </c>
      <c r="AE20" s="520" t="e">
        <f>MAX(0,ROUND(Volumes!CJ18*CPCTd21,0))</f>
        <v>#N/A</v>
      </c>
      <c r="AF20" s="520" t="e">
        <f>MAX(0,ROUND(Volumes!CK18*CPRVd21,0))</f>
        <v>#N/A</v>
      </c>
      <c r="AG20" s="518" t="e">
        <f t="shared" si="6"/>
        <v>#N/A</v>
      </c>
      <c r="AH20" s="521" t="e">
        <f>MAX(0,ROUND(Volumes!CN18*CPPCd31,0))</f>
        <v>#N/A</v>
      </c>
      <c r="AI20" s="520" t="e">
        <f>MAX(0,ROUND(Volumes!CO18*CPSUd31,0))</f>
        <v>#N/A</v>
      </c>
      <c r="AJ20" s="520" t="e">
        <f>MAX(0,ROUND(Volumes!CP18*CPCTd31,0))</f>
        <v>#N/A</v>
      </c>
      <c r="AK20" s="520" t="e">
        <f>MAX(0,ROUND(Volumes!CQ18*CPRVd31,0))</f>
        <v>#N/A</v>
      </c>
      <c r="AL20" s="517" t="e">
        <f t="shared" si="7"/>
        <v>#N/A</v>
      </c>
    </row>
    <row r="21" spans="1:38" x14ac:dyDescent="0.25">
      <c r="A21" s="319"/>
      <c r="B21" s="314">
        <f t="shared" si="8"/>
        <v>0.45833333333333337</v>
      </c>
      <c r="C21" s="177" t="str">
        <f t="shared" si="0"/>
        <v>YES</v>
      </c>
      <c r="D21" s="522" t="e">
        <f>I21+N21+S21+X21+AC21+AH21</f>
        <v>#N/A</v>
      </c>
      <c r="E21" s="517" t="e">
        <f t="shared" si="1"/>
        <v>#N/A</v>
      </c>
      <c r="F21" s="517" t="e">
        <f t="shared" si="1"/>
        <v>#N/A</v>
      </c>
      <c r="G21" s="523" t="e">
        <f t="shared" si="1"/>
        <v>#N/A</v>
      </c>
      <c r="H21" s="518" t="e">
        <f t="shared" si="1"/>
        <v>#N/A</v>
      </c>
      <c r="I21" s="516" t="e">
        <f>MAX(0,ROUND(Volumes!BV19*CPPCwz1,0))</f>
        <v>#N/A</v>
      </c>
      <c r="J21" s="517" t="e">
        <f>MAX(0,ROUND(Volumes!BW19*CPSUwz1,0))</f>
        <v>#N/A</v>
      </c>
      <c r="K21" s="517" t="e">
        <f>MAX(0,ROUND(Volumes!BX19*CPCTwz1,0))</f>
        <v>#N/A</v>
      </c>
      <c r="L21" s="517" t="e">
        <f>MAX(0,ROUND(Volumes!BY19*CPRVwz1,0))</f>
        <v>#N/A</v>
      </c>
      <c r="M21" s="518" t="e">
        <f t="shared" si="2"/>
        <v>#N/A</v>
      </c>
      <c r="N21" s="519" t="e">
        <f>MAX(0,ROUND((Queuing!Q20/60)*CPPCq1,0))</f>
        <v>#N/A</v>
      </c>
      <c r="O21" s="520" t="e">
        <f>MAX(0,ROUND((Queuing!R20/60)*CPSUq1,0))</f>
        <v>#N/A</v>
      </c>
      <c r="P21" s="520" t="e">
        <f>MAX(0,ROUND((Queuing!S20/60)*CPCTq1,0))</f>
        <v>#N/A</v>
      </c>
      <c r="Q21" s="520" t="e">
        <f>MAX(0,ROUND((Queuing!T20/60)*CPRVq1,0))</f>
        <v>#N/A</v>
      </c>
      <c r="R21" s="518" t="e">
        <f t="shared" si="3"/>
        <v>#N/A</v>
      </c>
      <c r="S21" s="519" t="e">
        <f>MAX(0,ROUND(Volumes!BV19*CPPCf1,0))</f>
        <v>#N/A</v>
      </c>
      <c r="T21" s="520" t="e">
        <f>MAX(0,ROUND(Volumes!BW19*CPSUf1,0))</f>
        <v>#N/A</v>
      </c>
      <c r="U21" s="520" t="e">
        <f>MAX(0,ROUND(Volumes!BX19*CPCTf1,0))</f>
        <v>#N/A</v>
      </c>
      <c r="V21" s="520" t="e">
        <f>MAX(0,ROUND(Volumes!BY19*CPRVf1,0))</f>
        <v>#N/A</v>
      </c>
      <c r="W21" s="518" t="e">
        <f t="shared" si="4"/>
        <v>#N/A</v>
      </c>
      <c r="X21" s="519" t="e">
        <f>MAX(0,ROUND(Volumes!CB19*CPPCd11,0))</f>
        <v>#N/A</v>
      </c>
      <c r="Y21" s="520" t="e">
        <f>MAX(0,ROUND(Volumes!CC19*CPSUd11,0))</f>
        <v>#N/A</v>
      </c>
      <c r="Z21" s="520" t="e">
        <f>MAX(0,ROUND(Volumes!CD19*CPCTd11,0))</f>
        <v>#N/A</v>
      </c>
      <c r="AA21" s="520" t="e">
        <f>MAX(0,ROUND(Volumes!CE19*CPRVd11,0))</f>
        <v>#N/A</v>
      </c>
      <c r="AB21" s="518" t="e">
        <f t="shared" si="5"/>
        <v>#N/A</v>
      </c>
      <c r="AC21" s="519" t="e">
        <f>MAX(0,ROUND(Volumes!CH19*CPPCd21,0))</f>
        <v>#N/A</v>
      </c>
      <c r="AD21" s="520" t="e">
        <f>MAX(0,ROUND(Volumes!CI19*CPSUd21,0))</f>
        <v>#N/A</v>
      </c>
      <c r="AE21" s="520" t="e">
        <f>MAX(0,ROUND(Volumes!CJ19*CPCTd21,0))</f>
        <v>#N/A</v>
      </c>
      <c r="AF21" s="520" t="e">
        <f>MAX(0,ROUND(Volumes!CK19*CPRVd21,0))</f>
        <v>#N/A</v>
      </c>
      <c r="AG21" s="518" t="e">
        <f t="shared" si="6"/>
        <v>#N/A</v>
      </c>
      <c r="AH21" s="521" t="e">
        <f>MAX(0,ROUND(Volumes!CN19*CPPCd31,0))</f>
        <v>#N/A</v>
      </c>
      <c r="AI21" s="520" t="e">
        <f>MAX(0,ROUND(Volumes!CO19*CPSUd31,0))</f>
        <v>#N/A</v>
      </c>
      <c r="AJ21" s="520" t="e">
        <f>MAX(0,ROUND(Volumes!CP19*CPCTd31,0))</f>
        <v>#N/A</v>
      </c>
      <c r="AK21" s="520" t="e">
        <f>MAX(0,ROUND(Volumes!CQ19*CPRVd31,0))</f>
        <v>#N/A</v>
      </c>
      <c r="AL21" s="517" t="e">
        <f t="shared" si="7"/>
        <v>#N/A</v>
      </c>
    </row>
    <row r="22" spans="1:38" x14ac:dyDescent="0.25">
      <c r="A22" s="319"/>
      <c r="B22" s="314">
        <f t="shared" si="8"/>
        <v>0.5</v>
      </c>
      <c r="C22" s="177" t="str">
        <f t="shared" si="0"/>
        <v>YES</v>
      </c>
      <c r="D22" s="522" t="e">
        <f t="shared" si="1"/>
        <v>#N/A</v>
      </c>
      <c r="E22" s="517" t="e">
        <f t="shared" si="1"/>
        <v>#N/A</v>
      </c>
      <c r="F22" s="517" t="e">
        <f t="shared" si="1"/>
        <v>#N/A</v>
      </c>
      <c r="G22" s="523" t="e">
        <f t="shared" si="1"/>
        <v>#N/A</v>
      </c>
      <c r="H22" s="518" t="e">
        <f t="shared" si="1"/>
        <v>#N/A</v>
      </c>
      <c r="I22" s="516" t="e">
        <f>MAX(0,ROUND(Volumes!BV20*CPPCwz1,0))</f>
        <v>#N/A</v>
      </c>
      <c r="J22" s="517" t="e">
        <f>MAX(0,ROUND(Volumes!BW20*CPSUwz1,0))</f>
        <v>#N/A</v>
      </c>
      <c r="K22" s="517" t="e">
        <f>MAX(0,ROUND(Volumes!BX20*CPCTwz1,0))</f>
        <v>#N/A</v>
      </c>
      <c r="L22" s="517" t="e">
        <f>MAX(0,ROUND(Volumes!BY20*CPRVwz1,0))</f>
        <v>#N/A</v>
      </c>
      <c r="M22" s="518" t="e">
        <f t="shared" si="2"/>
        <v>#N/A</v>
      </c>
      <c r="N22" s="519" t="e">
        <f>MAX(0,ROUND((Queuing!Q21/60)*CPPCq1,0))</f>
        <v>#N/A</v>
      </c>
      <c r="O22" s="520" t="e">
        <f>MAX(0,ROUND((Queuing!R21/60)*CPSUq1,0))</f>
        <v>#N/A</v>
      </c>
      <c r="P22" s="520" t="e">
        <f>MAX(0,ROUND((Queuing!S21/60)*CPCTq1,0))</f>
        <v>#N/A</v>
      </c>
      <c r="Q22" s="520" t="e">
        <f>MAX(0,ROUND((Queuing!T21/60)*CPRVq1,0))</f>
        <v>#N/A</v>
      </c>
      <c r="R22" s="518" t="e">
        <f t="shared" si="3"/>
        <v>#N/A</v>
      </c>
      <c r="S22" s="519" t="e">
        <f>MAX(0,ROUND(Volumes!BV20*CPPCf1,0))</f>
        <v>#N/A</v>
      </c>
      <c r="T22" s="520" t="e">
        <f>MAX(0,ROUND(Volumes!BW20*CPSUf1,0))</f>
        <v>#N/A</v>
      </c>
      <c r="U22" s="520" t="e">
        <f>MAX(0,ROUND(Volumes!BX20*CPCTf1,0))</f>
        <v>#N/A</v>
      </c>
      <c r="V22" s="520" t="e">
        <f>MAX(0,ROUND(Volumes!BY20*CPRVf1,0))</f>
        <v>#N/A</v>
      </c>
      <c r="W22" s="518" t="e">
        <f t="shared" si="4"/>
        <v>#N/A</v>
      </c>
      <c r="X22" s="519" t="e">
        <f>MAX(0,ROUND(Volumes!CB20*CPPCd11,0))</f>
        <v>#N/A</v>
      </c>
      <c r="Y22" s="520" t="e">
        <f>MAX(0,ROUND(Volumes!CC20*CPSUd11,0))</f>
        <v>#N/A</v>
      </c>
      <c r="Z22" s="520" t="e">
        <f>MAX(0,ROUND(Volumes!CD20*CPCTd11,0))</f>
        <v>#N/A</v>
      </c>
      <c r="AA22" s="520" t="e">
        <f>MAX(0,ROUND(Volumes!CE20*CPRVd11,0))</f>
        <v>#N/A</v>
      </c>
      <c r="AB22" s="518" t="e">
        <f t="shared" si="5"/>
        <v>#N/A</v>
      </c>
      <c r="AC22" s="519" t="e">
        <f>MAX(0,ROUND(Volumes!CH20*CPPCd21,0))</f>
        <v>#N/A</v>
      </c>
      <c r="AD22" s="520" t="e">
        <f>MAX(0,ROUND(Volumes!CI20*CPSUd21,0))</f>
        <v>#N/A</v>
      </c>
      <c r="AE22" s="520" t="e">
        <f>MAX(0,ROUND(Volumes!CJ20*CPCTd21,0))</f>
        <v>#N/A</v>
      </c>
      <c r="AF22" s="520" t="e">
        <f>MAX(0,ROUND(Volumes!CK20*CPRVd21,0))</f>
        <v>#N/A</v>
      </c>
      <c r="AG22" s="518" t="e">
        <f t="shared" si="6"/>
        <v>#N/A</v>
      </c>
      <c r="AH22" s="521" t="e">
        <f>MAX(0,ROUND(Volumes!CN20*CPPCd31,0))</f>
        <v>#N/A</v>
      </c>
      <c r="AI22" s="520" t="e">
        <f>MAX(0,ROUND(Volumes!CO20*CPSUd31,0))</f>
        <v>#N/A</v>
      </c>
      <c r="AJ22" s="520" t="e">
        <f>MAX(0,ROUND(Volumes!CP20*CPCTd31,0))</f>
        <v>#N/A</v>
      </c>
      <c r="AK22" s="520" t="e">
        <f>MAX(0,ROUND(Volumes!CQ20*CPRVd31,0))</f>
        <v>#N/A</v>
      </c>
      <c r="AL22" s="517" t="e">
        <f t="shared" si="7"/>
        <v>#N/A</v>
      </c>
    </row>
    <row r="23" spans="1:38" x14ac:dyDescent="0.25">
      <c r="A23" s="319"/>
      <c r="B23" s="314">
        <f t="shared" si="8"/>
        <v>0.54166666666666663</v>
      </c>
      <c r="C23" s="177" t="str">
        <f t="shared" si="0"/>
        <v>YES</v>
      </c>
      <c r="D23" s="522" t="e">
        <f t="shared" si="1"/>
        <v>#N/A</v>
      </c>
      <c r="E23" s="517" t="e">
        <f t="shared" si="1"/>
        <v>#N/A</v>
      </c>
      <c r="F23" s="517" t="e">
        <f t="shared" si="1"/>
        <v>#N/A</v>
      </c>
      <c r="G23" s="523" t="e">
        <f t="shared" si="1"/>
        <v>#N/A</v>
      </c>
      <c r="H23" s="518" t="e">
        <f t="shared" si="1"/>
        <v>#N/A</v>
      </c>
      <c r="I23" s="516" t="e">
        <f>MAX(0,ROUND(Volumes!BV21*CPPCwz1,0))</f>
        <v>#N/A</v>
      </c>
      <c r="J23" s="517" t="e">
        <f>MAX(0,ROUND(Volumes!BW21*CPSUwz1,0))</f>
        <v>#N/A</v>
      </c>
      <c r="K23" s="517" t="e">
        <f>MAX(0,ROUND(Volumes!BX21*CPCTwz1,0))</f>
        <v>#N/A</v>
      </c>
      <c r="L23" s="517" t="e">
        <f>MAX(0,ROUND(Volumes!BY21*CPRVwz1,0))</f>
        <v>#N/A</v>
      </c>
      <c r="M23" s="518" t="e">
        <f t="shared" si="2"/>
        <v>#N/A</v>
      </c>
      <c r="N23" s="519" t="e">
        <f>MAX(0,ROUND((Queuing!Q22/60)*CPPCq1,0))</f>
        <v>#N/A</v>
      </c>
      <c r="O23" s="520" t="e">
        <f>MAX(0,ROUND((Queuing!R22/60)*CPSUq1,0))</f>
        <v>#N/A</v>
      </c>
      <c r="P23" s="520" t="e">
        <f>MAX(0,ROUND((Queuing!S22/60)*CPCTq1,0))</f>
        <v>#N/A</v>
      </c>
      <c r="Q23" s="520" t="e">
        <f>MAX(0,ROUND((Queuing!T22/60)*CPRVq1,0))</f>
        <v>#N/A</v>
      </c>
      <c r="R23" s="518" t="e">
        <f t="shared" si="3"/>
        <v>#N/A</v>
      </c>
      <c r="S23" s="519" t="e">
        <f>MAX(0,ROUND(Volumes!BV21*CPPCf1,0))</f>
        <v>#N/A</v>
      </c>
      <c r="T23" s="520" t="e">
        <f>MAX(0,ROUND(Volumes!BW21*CPSUf1,0))</f>
        <v>#N/A</v>
      </c>
      <c r="U23" s="520" t="e">
        <f>MAX(0,ROUND(Volumes!BX21*CPCTf1,0))</f>
        <v>#N/A</v>
      </c>
      <c r="V23" s="520" t="e">
        <f>MAX(0,ROUND(Volumes!BY21*CPRVf1,0))</f>
        <v>#N/A</v>
      </c>
      <c r="W23" s="518" t="e">
        <f t="shared" si="4"/>
        <v>#N/A</v>
      </c>
      <c r="X23" s="519" t="e">
        <f>MAX(0,ROUND(Volumes!CB21*CPPCd11,0))</f>
        <v>#N/A</v>
      </c>
      <c r="Y23" s="520" t="e">
        <f>MAX(0,ROUND(Volumes!CC21*CPSUd11,0))</f>
        <v>#N/A</v>
      </c>
      <c r="Z23" s="520" t="e">
        <f>MAX(0,ROUND(Volumes!CD21*CPCTd11,0))</f>
        <v>#N/A</v>
      </c>
      <c r="AA23" s="520" t="e">
        <f>MAX(0,ROUND(Volumes!CE21*CPRVd11,0))</f>
        <v>#N/A</v>
      </c>
      <c r="AB23" s="518" t="e">
        <f t="shared" si="5"/>
        <v>#N/A</v>
      </c>
      <c r="AC23" s="519" t="e">
        <f>MAX(0,ROUND(Volumes!CH21*CPPCd21,0))</f>
        <v>#N/A</v>
      </c>
      <c r="AD23" s="520" t="e">
        <f>MAX(0,ROUND(Volumes!CI21*CPSUd21,0))</f>
        <v>#N/A</v>
      </c>
      <c r="AE23" s="520" t="e">
        <f>MAX(0,ROUND(Volumes!CJ21*CPCTd21,0))</f>
        <v>#N/A</v>
      </c>
      <c r="AF23" s="520" t="e">
        <f>MAX(0,ROUND(Volumes!CK21*CPRVd21,0))</f>
        <v>#N/A</v>
      </c>
      <c r="AG23" s="518" t="e">
        <f t="shared" si="6"/>
        <v>#N/A</v>
      </c>
      <c r="AH23" s="521" t="e">
        <f>MAX(0,ROUND(Volumes!CN21*CPPCd31,0))</f>
        <v>#N/A</v>
      </c>
      <c r="AI23" s="520" t="e">
        <f>MAX(0,ROUND(Volumes!CO21*CPSUd31,0))</f>
        <v>#N/A</v>
      </c>
      <c r="AJ23" s="520" t="e">
        <f>MAX(0,ROUND(Volumes!CP21*CPCTd31,0))</f>
        <v>#N/A</v>
      </c>
      <c r="AK23" s="520" t="e">
        <f>MAX(0,ROUND(Volumes!CQ21*CPRVd31,0))</f>
        <v>#N/A</v>
      </c>
      <c r="AL23" s="517" t="e">
        <f t="shared" si="7"/>
        <v>#N/A</v>
      </c>
    </row>
    <row r="24" spans="1:38" x14ac:dyDescent="0.25">
      <c r="A24" s="319"/>
      <c r="B24" s="314">
        <f t="shared" si="8"/>
        <v>0.58333333333333326</v>
      </c>
      <c r="C24" s="177" t="str">
        <f t="shared" si="0"/>
        <v>YES</v>
      </c>
      <c r="D24" s="522" t="e">
        <f t="shared" si="1"/>
        <v>#N/A</v>
      </c>
      <c r="E24" s="517" t="e">
        <f t="shared" si="1"/>
        <v>#N/A</v>
      </c>
      <c r="F24" s="517" t="e">
        <f t="shared" si="1"/>
        <v>#N/A</v>
      </c>
      <c r="G24" s="523" t="e">
        <f t="shared" si="1"/>
        <v>#N/A</v>
      </c>
      <c r="H24" s="518" t="e">
        <f t="shared" si="1"/>
        <v>#N/A</v>
      </c>
      <c r="I24" s="516" t="e">
        <f>MAX(0,ROUND(Volumes!BV22*CPPCwz1,0))</f>
        <v>#N/A</v>
      </c>
      <c r="J24" s="517" t="e">
        <f>MAX(0,ROUND(Volumes!BW22*CPSUwz1,0))</f>
        <v>#N/A</v>
      </c>
      <c r="K24" s="517" t="e">
        <f>MAX(0,ROUND(Volumes!BX22*CPCTwz1,0))</f>
        <v>#N/A</v>
      </c>
      <c r="L24" s="517" t="e">
        <f>MAX(0,ROUND(Volumes!BY22*CPRVwz1,0))</f>
        <v>#N/A</v>
      </c>
      <c r="M24" s="518" t="e">
        <f t="shared" si="2"/>
        <v>#N/A</v>
      </c>
      <c r="N24" s="519" t="e">
        <f>MAX(0,ROUND((Queuing!Q23/60)*CPPCq1,0))</f>
        <v>#N/A</v>
      </c>
      <c r="O24" s="520" t="e">
        <f>MAX(0,ROUND((Queuing!R23/60)*CPSUq1,0))</f>
        <v>#N/A</v>
      </c>
      <c r="P24" s="520" t="e">
        <f>MAX(0,ROUND((Queuing!S23/60)*CPCTq1,0))</f>
        <v>#N/A</v>
      </c>
      <c r="Q24" s="520" t="e">
        <f>MAX(0,ROUND((Queuing!T23/60)*CPRVq1,0))</f>
        <v>#N/A</v>
      </c>
      <c r="R24" s="518" t="e">
        <f t="shared" si="3"/>
        <v>#N/A</v>
      </c>
      <c r="S24" s="519" t="e">
        <f>MAX(0,ROUND(Volumes!BV22*CPPCf1,0))</f>
        <v>#N/A</v>
      </c>
      <c r="T24" s="520" t="e">
        <f>MAX(0,ROUND(Volumes!BW22*CPSUf1,0))</f>
        <v>#N/A</v>
      </c>
      <c r="U24" s="520" t="e">
        <f>MAX(0,ROUND(Volumes!BX22*CPCTf1,0))</f>
        <v>#N/A</v>
      </c>
      <c r="V24" s="520" t="e">
        <f>MAX(0,ROUND(Volumes!BY22*CPRVf1,0))</f>
        <v>#N/A</v>
      </c>
      <c r="W24" s="518" t="e">
        <f t="shared" si="4"/>
        <v>#N/A</v>
      </c>
      <c r="X24" s="519" t="e">
        <f>MAX(0,ROUND(Volumes!CB22*CPPCd11,0))</f>
        <v>#N/A</v>
      </c>
      <c r="Y24" s="520" t="e">
        <f>MAX(0,ROUND(Volumes!CC22*CPSUd11,0))</f>
        <v>#N/A</v>
      </c>
      <c r="Z24" s="520" t="e">
        <f>MAX(0,ROUND(Volumes!CD22*CPCTd11,0))</f>
        <v>#N/A</v>
      </c>
      <c r="AA24" s="520" t="e">
        <f>MAX(0,ROUND(Volumes!CE22*CPRVd11,0))</f>
        <v>#N/A</v>
      </c>
      <c r="AB24" s="518" t="e">
        <f t="shared" si="5"/>
        <v>#N/A</v>
      </c>
      <c r="AC24" s="519" t="e">
        <f>MAX(0,ROUND(Volumes!CH22*CPPCd21,0))</f>
        <v>#N/A</v>
      </c>
      <c r="AD24" s="520" t="e">
        <f>MAX(0,ROUND(Volumes!CI22*CPSUd21,0))</f>
        <v>#N/A</v>
      </c>
      <c r="AE24" s="520" t="e">
        <f>MAX(0,ROUND(Volumes!CJ22*CPCTd21,0))</f>
        <v>#N/A</v>
      </c>
      <c r="AF24" s="520" t="e">
        <f>MAX(0,ROUND(Volumes!CK22*CPRVd21,0))</f>
        <v>#N/A</v>
      </c>
      <c r="AG24" s="518" t="e">
        <f t="shared" si="6"/>
        <v>#N/A</v>
      </c>
      <c r="AH24" s="521" t="e">
        <f>MAX(0,ROUND(Volumes!CN22*CPPCd31,0))</f>
        <v>#N/A</v>
      </c>
      <c r="AI24" s="520" t="e">
        <f>MAX(0,ROUND(Volumes!CO22*CPSUd31,0))</f>
        <v>#N/A</v>
      </c>
      <c r="AJ24" s="520" t="e">
        <f>MAX(0,ROUND(Volumes!CP22*CPCTd31,0))</f>
        <v>#N/A</v>
      </c>
      <c r="AK24" s="520" t="e">
        <f>MAX(0,ROUND(Volumes!CQ22*CPRVd31,0))</f>
        <v>#N/A</v>
      </c>
      <c r="AL24" s="517" t="e">
        <f t="shared" si="7"/>
        <v>#N/A</v>
      </c>
    </row>
    <row r="25" spans="1:38" x14ac:dyDescent="0.25">
      <c r="A25" s="319"/>
      <c r="B25" s="314">
        <f t="shared" si="8"/>
        <v>0.62499999999999989</v>
      </c>
      <c r="C25" s="177" t="str">
        <f t="shared" si="0"/>
        <v>YES</v>
      </c>
      <c r="D25" s="522" t="e">
        <f t="shared" si="1"/>
        <v>#N/A</v>
      </c>
      <c r="E25" s="517" t="e">
        <f t="shared" si="1"/>
        <v>#N/A</v>
      </c>
      <c r="F25" s="517" t="e">
        <f t="shared" si="1"/>
        <v>#N/A</v>
      </c>
      <c r="G25" s="523" t="e">
        <f t="shared" si="1"/>
        <v>#N/A</v>
      </c>
      <c r="H25" s="518" t="e">
        <f t="shared" si="1"/>
        <v>#N/A</v>
      </c>
      <c r="I25" s="516" t="e">
        <f>MAX(0,ROUND(Volumes!BV23*CPPCwz1,0))</f>
        <v>#N/A</v>
      </c>
      <c r="J25" s="517" t="e">
        <f>MAX(0,ROUND(Volumes!BW23*CPSUwz1,0))</f>
        <v>#N/A</v>
      </c>
      <c r="K25" s="517" t="e">
        <f>MAX(0,ROUND(Volumes!BX23*CPCTwz1,0))</f>
        <v>#N/A</v>
      </c>
      <c r="L25" s="517" t="e">
        <f>MAX(0,ROUND(Volumes!BY23*CPRVwz1,0))</f>
        <v>#N/A</v>
      </c>
      <c r="M25" s="518" t="e">
        <f t="shared" si="2"/>
        <v>#N/A</v>
      </c>
      <c r="N25" s="519" t="e">
        <f>MAX(0,ROUND((Queuing!Q24/60)*CPPCq1,0))</f>
        <v>#N/A</v>
      </c>
      <c r="O25" s="520" t="e">
        <f>MAX(0,ROUND((Queuing!R24/60)*CPSUq1,0))</f>
        <v>#N/A</v>
      </c>
      <c r="P25" s="520" t="e">
        <f>MAX(0,ROUND((Queuing!S24/60)*CPCTq1,0))</f>
        <v>#N/A</v>
      </c>
      <c r="Q25" s="520" t="e">
        <f>MAX(0,ROUND((Queuing!T24/60)*CPRVq1,0))</f>
        <v>#N/A</v>
      </c>
      <c r="R25" s="518" t="e">
        <f t="shared" si="3"/>
        <v>#N/A</v>
      </c>
      <c r="S25" s="519" t="e">
        <f>MAX(0,ROUND(Volumes!BV23*CPPCf1,0))</f>
        <v>#N/A</v>
      </c>
      <c r="T25" s="520" t="e">
        <f>MAX(0,ROUND(Volumes!BW23*CPSUf1,0))</f>
        <v>#N/A</v>
      </c>
      <c r="U25" s="520" t="e">
        <f>MAX(0,ROUND(Volumes!BX23*CPCTf1,0))</f>
        <v>#N/A</v>
      </c>
      <c r="V25" s="520" t="e">
        <f>MAX(0,ROUND(Volumes!BY23*CPRVf1,0))</f>
        <v>#N/A</v>
      </c>
      <c r="W25" s="518" t="e">
        <f t="shared" si="4"/>
        <v>#N/A</v>
      </c>
      <c r="X25" s="519" t="e">
        <f>MAX(0,ROUND(Volumes!CB23*CPPCd11,0))</f>
        <v>#N/A</v>
      </c>
      <c r="Y25" s="520" t="e">
        <f>MAX(0,ROUND(Volumes!CC23*CPSUd11,0))</f>
        <v>#N/A</v>
      </c>
      <c r="Z25" s="520" t="e">
        <f>MAX(0,ROUND(Volumes!CD23*CPCTd11,0))</f>
        <v>#N/A</v>
      </c>
      <c r="AA25" s="520" t="e">
        <f>MAX(0,ROUND(Volumes!CE23*CPRVd11,0))</f>
        <v>#N/A</v>
      </c>
      <c r="AB25" s="518" t="e">
        <f t="shared" si="5"/>
        <v>#N/A</v>
      </c>
      <c r="AC25" s="519" t="e">
        <f>MAX(0,ROUND(Volumes!CH23*CPPCd21,0))</f>
        <v>#N/A</v>
      </c>
      <c r="AD25" s="520" t="e">
        <f>MAX(0,ROUND(Volumes!CI23*CPSUd21,0))</f>
        <v>#N/A</v>
      </c>
      <c r="AE25" s="520" t="e">
        <f>MAX(0,ROUND(Volumes!CJ23*CPCTd21,0))</f>
        <v>#N/A</v>
      </c>
      <c r="AF25" s="520" t="e">
        <f>MAX(0,ROUND(Volumes!CK23*CPRVd21,0))</f>
        <v>#N/A</v>
      </c>
      <c r="AG25" s="518" t="e">
        <f t="shared" si="6"/>
        <v>#N/A</v>
      </c>
      <c r="AH25" s="521" t="e">
        <f>MAX(0,ROUND(Volumes!CN23*CPPCd31,0))</f>
        <v>#N/A</v>
      </c>
      <c r="AI25" s="520" t="e">
        <f>MAX(0,ROUND(Volumes!CO23*CPSUd31,0))</f>
        <v>#N/A</v>
      </c>
      <c r="AJ25" s="520" t="e">
        <f>MAX(0,ROUND(Volumes!CP23*CPCTd31,0))</f>
        <v>#N/A</v>
      </c>
      <c r="AK25" s="520" t="e">
        <f>MAX(0,ROUND(Volumes!CQ23*CPRVd31,0))</f>
        <v>#N/A</v>
      </c>
      <c r="AL25" s="517" t="e">
        <f t="shared" si="7"/>
        <v>#N/A</v>
      </c>
    </row>
    <row r="26" spans="1:38" x14ac:dyDescent="0.25">
      <c r="A26" s="319"/>
      <c r="B26" s="314">
        <f t="shared" si="8"/>
        <v>0.66666666666666652</v>
      </c>
      <c r="C26" s="177" t="str">
        <f t="shared" si="0"/>
        <v>YES</v>
      </c>
      <c r="D26" s="522" t="e">
        <f t="shared" si="1"/>
        <v>#N/A</v>
      </c>
      <c r="E26" s="517" t="e">
        <f t="shared" si="1"/>
        <v>#N/A</v>
      </c>
      <c r="F26" s="517" t="e">
        <f t="shared" si="1"/>
        <v>#N/A</v>
      </c>
      <c r="G26" s="523" t="e">
        <f t="shared" si="1"/>
        <v>#N/A</v>
      </c>
      <c r="H26" s="518" t="e">
        <f t="shared" si="1"/>
        <v>#N/A</v>
      </c>
      <c r="I26" s="516" t="e">
        <f>MAX(0,ROUND(Volumes!BV24*CPPCwz1,0))</f>
        <v>#N/A</v>
      </c>
      <c r="J26" s="517" t="e">
        <f>MAX(0,ROUND(Volumes!BW24*CPSUwz1,0))</f>
        <v>#N/A</v>
      </c>
      <c r="K26" s="517" t="e">
        <f>MAX(0,ROUND(Volumes!BX24*CPCTwz1,0))</f>
        <v>#N/A</v>
      </c>
      <c r="L26" s="517" t="e">
        <f>MAX(0,ROUND(Volumes!BY24*CPRVwz1,0))</f>
        <v>#N/A</v>
      </c>
      <c r="M26" s="518" t="e">
        <f t="shared" si="2"/>
        <v>#N/A</v>
      </c>
      <c r="N26" s="519" t="e">
        <f>MAX(0,ROUND((Queuing!Q25/60)*CPPCq1,0))</f>
        <v>#N/A</v>
      </c>
      <c r="O26" s="520" t="e">
        <f>MAX(0,ROUND((Queuing!R25/60)*CPSUq1,0))</f>
        <v>#N/A</v>
      </c>
      <c r="P26" s="520" t="e">
        <f>MAX(0,ROUND((Queuing!S25/60)*CPCTq1,0))</f>
        <v>#N/A</v>
      </c>
      <c r="Q26" s="520" t="e">
        <f>MAX(0,ROUND((Queuing!T25/60)*CPRVq1,0))</f>
        <v>#N/A</v>
      </c>
      <c r="R26" s="518" t="e">
        <f t="shared" si="3"/>
        <v>#N/A</v>
      </c>
      <c r="S26" s="519" t="e">
        <f>MAX(0,ROUND(Volumes!BV24*CPPCf1,0))</f>
        <v>#N/A</v>
      </c>
      <c r="T26" s="520" t="e">
        <f>MAX(0,ROUND(Volumes!BW24*CPSUf1,0))</f>
        <v>#N/A</v>
      </c>
      <c r="U26" s="520" t="e">
        <f>MAX(0,ROUND(Volumes!BX24*CPCTf1,0))</f>
        <v>#N/A</v>
      </c>
      <c r="V26" s="520" t="e">
        <f>MAX(0,ROUND(Volumes!BY24*CPRVf1,0))</f>
        <v>#N/A</v>
      </c>
      <c r="W26" s="518" t="e">
        <f t="shared" si="4"/>
        <v>#N/A</v>
      </c>
      <c r="X26" s="519" t="e">
        <f>MAX(0,ROUND(Volumes!CB24*CPPCd11,0))</f>
        <v>#N/A</v>
      </c>
      <c r="Y26" s="520" t="e">
        <f>MAX(0,ROUND(Volumes!CC24*CPSUd11,0))</f>
        <v>#N/A</v>
      </c>
      <c r="Z26" s="520" t="e">
        <f>MAX(0,ROUND(Volumes!CD24*CPCTd11,0))</f>
        <v>#N/A</v>
      </c>
      <c r="AA26" s="520" t="e">
        <f>MAX(0,ROUND(Volumes!CE24*CPRVd11,0))</f>
        <v>#N/A</v>
      </c>
      <c r="AB26" s="518" t="e">
        <f t="shared" si="5"/>
        <v>#N/A</v>
      </c>
      <c r="AC26" s="519" t="e">
        <f>MAX(0,ROUND(Volumes!CH24*CPPCd21,0))</f>
        <v>#N/A</v>
      </c>
      <c r="AD26" s="520" t="e">
        <f>MAX(0,ROUND(Volumes!CI24*CPSUd21,0))</f>
        <v>#N/A</v>
      </c>
      <c r="AE26" s="520" t="e">
        <f>MAX(0,ROUND(Volumes!CJ24*CPCTd21,0))</f>
        <v>#N/A</v>
      </c>
      <c r="AF26" s="520" t="e">
        <f>MAX(0,ROUND(Volumes!CK24*CPRVd21,0))</f>
        <v>#N/A</v>
      </c>
      <c r="AG26" s="518" t="e">
        <f t="shared" si="6"/>
        <v>#N/A</v>
      </c>
      <c r="AH26" s="521" t="e">
        <f>MAX(0,ROUND(Volumes!CN24*CPPCd31,0))</f>
        <v>#N/A</v>
      </c>
      <c r="AI26" s="520" t="e">
        <f>MAX(0,ROUND(Volumes!CO24*CPSUd31,0))</f>
        <v>#N/A</v>
      </c>
      <c r="AJ26" s="520" t="e">
        <f>MAX(0,ROUND(Volumes!CP24*CPCTd31,0))</f>
        <v>#N/A</v>
      </c>
      <c r="AK26" s="520" t="e">
        <f>MAX(0,ROUND(Volumes!CQ24*CPRVd31,0))</f>
        <v>#N/A</v>
      </c>
      <c r="AL26" s="517" t="e">
        <f t="shared" si="7"/>
        <v>#N/A</v>
      </c>
    </row>
    <row r="27" spans="1:38" x14ac:dyDescent="0.25">
      <c r="A27" s="319"/>
      <c r="B27" s="314">
        <f t="shared" si="8"/>
        <v>0.70833333333333315</v>
      </c>
      <c r="C27" s="177" t="str">
        <f t="shared" si="0"/>
        <v>YES</v>
      </c>
      <c r="D27" s="522" t="e">
        <f t="shared" si="1"/>
        <v>#N/A</v>
      </c>
      <c r="E27" s="517" t="e">
        <f t="shared" si="1"/>
        <v>#N/A</v>
      </c>
      <c r="F27" s="517" t="e">
        <f t="shared" si="1"/>
        <v>#N/A</v>
      </c>
      <c r="G27" s="523" t="e">
        <f t="shared" si="1"/>
        <v>#N/A</v>
      </c>
      <c r="H27" s="518" t="e">
        <f t="shared" si="1"/>
        <v>#N/A</v>
      </c>
      <c r="I27" s="516" t="e">
        <f>MAX(0,ROUND(Volumes!BV25*CPPCwz1,0))</f>
        <v>#N/A</v>
      </c>
      <c r="J27" s="517" t="e">
        <f>MAX(0,ROUND(Volumes!BW25*CPSUwz1,0))</f>
        <v>#N/A</v>
      </c>
      <c r="K27" s="517" t="e">
        <f>MAX(0,ROUND(Volumes!BX25*CPCTwz1,0))</f>
        <v>#N/A</v>
      </c>
      <c r="L27" s="517" t="e">
        <f>MAX(0,ROUND(Volumes!BY25*CPRVwz1,0))</f>
        <v>#N/A</v>
      </c>
      <c r="M27" s="518" t="e">
        <f t="shared" si="2"/>
        <v>#N/A</v>
      </c>
      <c r="N27" s="519" t="e">
        <f>MAX(0,ROUND((Queuing!Q26/60)*CPPCq1,0))</f>
        <v>#N/A</v>
      </c>
      <c r="O27" s="520" t="e">
        <f>MAX(0,ROUND((Queuing!R26/60)*CPSUq1,0))</f>
        <v>#N/A</v>
      </c>
      <c r="P27" s="520" t="e">
        <f>MAX(0,ROUND((Queuing!S26/60)*CPCTq1,0))</f>
        <v>#N/A</v>
      </c>
      <c r="Q27" s="520" t="e">
        <f>MAX(0,ROUND((Queuing!T26/60)*CPRVq1,0))</f>
        <v>#N/A</v>
      </c>
      <c r="R27" s="518" t="e">
        <f t="shared" si="3"/>
        <v>#N/A</v>
      </c>
      <c r="S27" s="519" t="e">
        <f>MAX(0,ROUND(Volumes!BV25*CPPCf1,0))</f>
        <v>#N/A</v>
      </c>
      <c r="T27" s="520" t="e">
        <f>MAX(0,ROUND(Volumes!BW25*CPSUf1,0))</f>
        <v>#N/A</v>
      </c>
      <c r="U27" s="520" t="e">
        <f>MAX(0,ROUND(Volumes!BX25*CPCTf1,0))</f>
        <v>#N/A</v>
      </c>
      <c r="V27" s="520" t="e">
        <f>MAX(0,ROUND(Volumes!BY25*CPRVf1,0))</f>
        <v>#N/A</v>
      </c>
      <c r="W27" s="518" t="e">
        <f t="shared" si="4"/>
        <v>#N/A</v>
      </c>
      <c r="X27" s="519" t="e">
        <f>MAX(0,ROUND(Volumes!CB25*CPPCd11,0))</f>
        <v>#N/A</v>
      </c>
      <c r="Y27" s="520" t="e">
        <f>MAX(0,ROUND(Volumes!CC25*CPSUd11,0))</f>
        <v>#N/A</v>
      </c>
      <c r="Z27" s="520" t="e">
        <f>MAX(0,ROUND(Volumes!CD25*CPCTd11,0))</f>
        <v>#N/A</v>
      </c>
      <c r="AA27" s="520" t="e">
        <f>MAX(0,ROUND(Volumes!CE25*CPRVd11,0))</f>
        <v>#N/A</v>
      </c>
      <c r="AB27" s="518" t="e">
        <f t="shared" si="5"/>
        <v>#N/A</v>
      </c>
      <c r="AC27" s="519" t="e">
        <f>MAX(0,ROUND(Volumes!CH25*CPPCd21,0))</f>
        <v>#N/A</v>
      </c>
      <c r="AD27" s="520" t="e">
        <f>MAX(0,ROUND(Volumes!CI25*CPSUd21,0))</f>
        <v>#N/A</v>
      </c>
      <c r="AE27" s="520" t="e">
        <f>MAX(0,ROUND(Volumes!CJ25*CPCTd21,0))</f>
        <v>#N/A</v>
      </c>
      <c r="AF27" s="520" t="e">
        <f>MAX(0,ROUND(Volumes!CK25*CPRVd21,0))</f>
        <v>#N/A</v>
      </c>
      <c r="AG27" s="518" t="e">
        <f t="shared" si="6"/>
        <v>#N/A</v>
      </c>
      <c r="AH27" s="521" t="e">
        <f>MAX(0,ROUND(Volumes!CN25*CPPCd31,0))</f>
        <v>#N/A</v>
      </c>
      <c r="AI27" s="520" t="e">
        <f>MAX(0,ROUND(Volumes!CO25*CPSUd31,0))</f>
        <v>#N/A</v>
      </c>
      <c r="AJ27" s="520" t="e">
        <f>MAX(0,ROUND(Volumes!CP25*CPCTd31,0))</f>
        <v>#N/A</v>
      </c>
      <c r="AK27" s="520" t="e">
        <f>MAX(0,ROUND(Volumes!CQ25*CPRVd31,0))</f>
        <v>#N/A</v>
      </c>
      <c r="AL27" s="517" t="e">
        <f t="shared" si="7"/>
        <v>#N/A</v>
      </c>
    </row>
    <row r="28" spans="1:38" x14ac:dyDescent="0.25">
      <c r="A28" s="319"/>
      <c r="B28" s="314">
        <f t="shared" si="8"/>
        <v>0.74999999999999978</v>
      </c>
      <c r="C28" s="177" t="str">
        <f t="shared" si="0"/>
        <v>YES</v>
      </c>
      <c r="D28" s="522" t="e">
        <f t="shared" si="1"/>
        <v>#N/A</v>
      </c>
      <c r="E28" s="517" t="e">
        <f t="shared" si="1"/>
        <v>#N/A</v>
      </c>
      <c r="F28" s="517" t="e">
        <f t="shared" si="1"/>
        <v>#N/A</v>
      </c>
      <c r="G28" s="523" t="e">
        <f t="shared" si="1"/>
        <v>#N/A</v>
      </c>
      <c r="H28" s="518" t="e">
        <f t="shared" si="1"/>
        <v>#N/A</v>
      </c>
      <c r="I28" s="516" t="e">
        <f>MAX(0,ROUND(Volumes!BV26*CPPCwz1,0))</f>
        <v>#N/A</v>
      </c>
      <c r="J28" s="517" t="e">
        <f>MAX(0,ROUND(Volumes!BW26*CPSUwz1,0))</f>
        <v>#N/A</v>
      </c>
      <c r="K28" s="517" t="e">
        <f>MAX(0,ROUND(Volumes!BX26*CPCTwz1,0))</f>
        <v>#N/A</v>
      </c>
      <c r="L28" s="517" t="e">
        <f>MAX(0,ROUND(Volumes!BY26*CPRVwz1,0))</f>
        <v>#N/A</v>
      </c>
      <c r="M28" s="518" t="e">
        <f t="shared" si="2"/>
        <v>#N/A</v>
      </c>
      <c r="N28" s="519" t="e">
        <f>MAX(0,ROUND((Queuing!Q27/60)*CPPCq1,0))</f>
        <v>#N/A</v>
      </c>
      <c r="O28" s="520" t="e">
        <f>MAX(0,ROUND((Queuing!R27/60)*CPSUq1,0))</f>
        <v>#N/A</v>
      </c>
      <c r="P28" s="520" t="e">
        <f>MAX(0,ROUND((Queuing!S27/60)*CPCTq1,0))</f>
        <v>#N/A</v>
      </c>
      <c r="Q28" s="520" t="e">
        <f>MAX(0,ROUND((Queuing!T27/60)*CPRVq1,0))</f>
        <v>#N/A</v>
      </c>
      <c r="R28" s="518" t="e">
        <f t="shared" si="3"/>
        <v>#N/A</v>
      </c>
      <c r="S28" s="519" t="e">
        <f>MAX(0,ROUND(Volumes!BV26*CPPCf1,0))</f>
        <v>#N/A</v>
      </c>
      <c r="T28" s="520" t="e">
        <f>MAX(0,ROUND(Volumes!BW26*CPSUf1,0))</f>
        <v>#N/A</v>
      </c>
      <c r="U28" s="520" t="e">
        <f>MAX(0,ROUND(Volumes!BX26*CPCTf1,0))</f>
        <v>#N/A</v>
      </c>
      <c r="V28" s="520" t="e">
        <f>MAX(0,ROUND(Volumes!BY26*CPRVf1,0))</f>
        <v>#N/A</v>
      </c>
      <c r="W28" s="518" t="e">
        <f t="shared" si="4"/>
        <v>#N/A</v>
      </c>
      <c r="X28" s="519" t="e">
        <f>MAX(0,ROUND(Volumes!CB26*CPPCd11,0))</f>
        <v>#N/A</v>
      </c>
      <c r="Y28" s="520" t="e">
        <f>MAX(0,ROUND(Volumes!CC26*CPSUd11,0))</f>
        <v>#N/A</v>
      </c>
      <c r="Z28" s="520" t="e">
        <f>MAX(0,ROUND(Volumes!CD26*CPCTd11,0))</f>
        <v>#N/A</v>
      </c>
      <c r="AA28" s="520" t="e">
        <f>MAX(0,ROUND(Volumes!CE26*CPRVd11,0))</f>
        <v>#N/A</v>
      </c>
      <c r="AB28" s="518" t="e">
        <f t="shared" si="5"/>
        <v>#N/A</v>
      </c>
      <c r="AC28" s="519" t="e">
        <f>MAX(0,ROUND(Volumes!CH26*CPPCd21,0))</f>
        <v>#N/A</v>
      </c>
      <c r="AD28" s="520" t="e">
        <f>MAX(0,ROUND(Volumes!CI26*CPSUd21,0))</f>
        <v>#N/A</v>
      </c>
      <c r="AE28" s="520" t="e">
        <f>MAX(0,ROUND(Volumes!CJ26*CPCTd21,0))</f>
        <v>#N/A</v>
      </c>
      <c r="AF28" s="520" t="e">
        <f>MAX(0,ROUND(Volumes!CK26*CPRVd21,0))</f>
        <v>#N/A</v>
      </c>
      <c r="AG28" s="518" t="e">
        <f t="shared" si="6"/>
        <v>#N/A</v>
      </c>
      <c r="AH28" s="521" t="e">
        <f>MAX(0,ROUND(Volumes!CN26*CPPCd31,0))</f>
        <v>#N/A</v>
      </c>
      <c r="AI28" s="520" t="e">
        <f>MAX(0,ROUND(Volumes!CO26*CPSUd31,0))</f>
        <v>#N/A</v>
      </c>
      <c r="AJ28" s="520" t="e">
        <f>MAX(0,ROUND(Volumes!CP26*CPCTd31,0))</f>
        <v>#N/A</v>
      </c>
      <c r="AK28" s="520" t="e">
        <f>MAX(0,ROUND(Volumes!CQ26*CPRVd31,0))</f>
        <v>#N/A</v>
      </c>
      <c r="AL28" s="517" t="e">
        <f t="shared" si="7"/>
        <v>#N/A</v>
      </c>
    </row>
    <row r="29" spans="1:38" x14ac:dyDescent="0.25">
      <c r="A29" s="319"/>
      <c r="B29" s="314">
        <f t="shared" si="8"/>
        <v>0.79166666666666641</v>
      </c>
      <c r="C29" s="177" t="str">
        <f t="shared" si="0"/>
        <v>YES</v>
      </c>
      <c r="D29" s="522" t="e">
        <f t="shared" si="1"/>
        <v>#N/A</v>
      </c>
      <c r="E29" s="517" t="e">
        <f t="shared" si="1"/>
        <v>#N/A</v>
      </c>
      <c r="F29" s="517" t="e">
        <f t="shared" si="1"/>
        <v>#N/A</v>
      </c>
      <c r="G29" s="523" t="e">
        <f t="shared" si="1"/>
        <v>#N/A</v>
      </c>
      <c r="H29" s="518" t="e">
        <f t="shared" si="1"/>
        <v>#N/A</v>
      </c>
      <c r="I29" s="516" t="e">
        <f>MAX(0,ROUND(Volumes!BV27*CPPCwz1,0))</f>
        <v>#N/A</v>
      </c>
      <c r="J29" s="517" t="e">
        <f>MAX(0,ROUND(Volumes!BW27*CPSUwz1,0))</f>
        <v>#N/A</v>
      </c>
      <c r="K29" s="517" t="e">
        <f>MAX(0,ROUND(Volumes!BX27*CPCTwz1,0))</f>
        <v>#N/A</v>
      </c>
      <c r="L29" s="517" t="e">
        <f>MAX(0,ROUND(Volumes!BY27*CPRVwz1,0))</f>
        <v>#N/A</v>
      </c>
      <c r="M29" s="518" t="e">
        <f t="shared" si="2"/>
        <v>#N/A</v>
      </c>
      <c r="N29" s="519" t="e">
        <f>MAX(0,ROUND((Queuing!Q28/60)*CPPCq1,0))</f>
        <v>#N/A</v>
      </c>
      <c r="O29" s="520" t="e">
        <f>MAX(0,ROUND((Queuing!R28/60)*CPSUq1,0))</f>
        <v>#N/A</v>
      </c>
      <c r="P29" s="520" t="e">
        <f>MAX(0,ROUND((Queuing!S28/60)*CPCTq1,0))</f>
        <v>#N/A</v>
      </c>
      <c r="Q29" s="520" t="e">
        <f>MAX(0,ROUND((Queuing!T28/60)*CPRVq1,0))</f>
        <v>#N/A</v>
      </c>
      <c r="R29" s="518" t="e">
        <f t="shared" si="3"/>
        <v>#N/A</v>
      </c>
      <c r="S29" s="519" t="e">
        <f>MAX(0,ROUND(Volumes!BV27*CPPCf1,0))</f>
        <v>#N/A</v>
      </c>
      <c r="T29" s="520" t="e">
        <f>MAX(0,ROUND(Volumes!BW27*CPSUf1,0))</f>
        <v>#N/A</v>
      </c>
      <c r="U29" s="520" t="e">
        <f>MAX(0,ROUND(Volumes!BX27*CPCTf1,0))</f>
        <v>#N/A</v>
      </c>
      <c r="V29" s="520" t="e">
        <f>MAX(0,ROUND(Volumes!BY27*CPRVf1,0))</f>
        <v>#N/A</v>
      </c>
      <c r="W29" s="518" t="e">
        <f t="shared" si="4"/>
        <v>#N/A</v>
      </c>
      <c r="X29" s="519" t="e">
        <f>MAX(0,ROUND(Volumes!CB27*CPPCd11,0))</f>
        <v>#N/A</v>
      </c>
      <c r="Y29" s="520" t="e">
        <f>MAX(0,ROUND(Volumes!CC27*CPSUd11,0))</f>
        <v>#N/A</v>
      </c>
      <c r="Z29" s="520" t="e">
        <f>MAX(0,ROUND(Volumes!CD27*CPCTd11,0))</f>
        <v>#N/A</v>
      </c>
      <c r="AA29" s="520" t="e">
        <f>MAX(0,ROUND(Volumes!CE27*CPRVd11,0))</f>
        <v>#N/A</v>
      </c>
      <c r="AB29" s="518" t="e">
        <f t="shared" si="5"/>
        <v>#N/A</v>
      </c>
      <c r="AC29" s="519" t="e">
        <f>MAX(0,ROUND(Volumes!CH27*CPPCd21,0))</f>
        <v>#N/A</v>
      </c>
      <c r="AD29" s="520" t="e">
        <f>MAX(0,ROUND(Volumes!CI27*CPSUd21,0))</f>
        <v>#N/A</v>
      </c>
      <c r="AE29" s="520" t="e">
        <f>MAX(0,ROUND(Volumes!CJ27*CPCTd21,0))</f>
        <v>#N/A</v>
      </c>
      <c r="AF29" s="520" t="e">
        <f>MAX(0,ROUND(Volumes!CK27*CPRVd21,0))</f>
        <v>#N/A</v>
      </c>
      <c r="AG29" s="518" t="e">
        <f t="shared" si="6"/>
        <v>#N/A</v>
      </c>
      <c r="AH29" s="521" t="e">
        <f>MAX(0,ROUND(Volumes!CN27*CPPCd31,0))</f>
        <v>#N/A</v>
      </c>
      <c r="AI29" s="520" t="e">
        <f>MAX(0,ROUND(Volumes!CO27*CPSUd31,0))</f>
        <v>#N/A</v>
      </c>
      <c r="AJ29" s="520" t="e">
        <f>MAX(0,ROUND(Volumes!CP27*CPCTd31,0))</f>
        <v>#N/A</v>
      </c>
      <c r="AK29" s="520" t="e">
        <f>MAX(0,ROUND(Volumes!CQ27*CPRVd31,0))</f>
        <v>#N/A</v>
      </c>
      <c r="AL29" s="517" t="e">
        <f t="shared" si="7"/>
        <v>#N/A</v>
      </c>
    </row>
    <row r="30" spans="1:38" x14ac:dyDescent="0.25">
      <c r="A30" s="319"/>
      <c r="B30" s="314">
        <f t="shared" si="8"/>
        <v>0.83333333333333304</v>
      </c>
      <c r="C30" s="177" t="str">
        <f t="shared" si="0"/>
        <v>YES</v>
      </c>
      <c r="D30" s="522" t="e">
        <f t="shared" si="1"/>
        <v>#N/A</v>
      </c>
      <c r="E30" s="517" t="e">
        <f t="shared" si="1"/>
        <v>#N/A</v>
      </c>
      <c r="F30" s="517" t="e">
        <f t="shared" si="1"/>
        <v>#N/A</v>
      </c>
      <c r="G30" s="523" t="e">
        <f t="shared" si="1"/>
        <v>#N/A</v>
      </c>
      <c r="H30" s="518" t="e">
        <f t="shared" si="1"/>
        <v>#N/A</v>
      </c>
      <c r="I30" s="516" t="e">
        <f>MAX(0,ROUND(Volumes!BV28*CPPCwz1,0))</f>
        <v>#N/A</v>
      </c>
      <c r="J30" s="517" t="e">
        <f>MAX(0,ROUND(Volumes!BW28*CPSUwz1,0))</f>
        <v>#N/A</v>
      </c>
      <c r="K30" s="517" t="e">
        <f>MAX(0,ROUND(Volumes!BX28*CPCTwz1,0))</f>
        <v>#N/A</v>
      </c>
      <c r="L30" s="517" t="e">
        <f>MAX(0,ROUND(Volumes!BY28*CPRVwz1,0))</f>
        <v>#N/A</v>
      </c>
      <c r="M30" s="518" t="e">
        <f t="shared" si="2"/>
        <v>#N/A</v>
      </c>
      <c r="N30" s="519" t="e">
        <f>MAX(0,ROUND((Queuing!Q29/60)*CPPCq1,0))</f>
        <v>#N/A</v>
      </c>
      <c r="O30" s="520" t="e">
        <f>MAX(0,ROUND((Queuing!R29/60)*CPSUq1,0))</f>
        <v>#N/A</v>
      </c>
      <c r="P30" s="520" t="e">
        <f>MAX(0,ROUND((Queuing!S29/60)*CPCTq1,0))</f>
        <v>#N/A</v>
      </c>
      <c r="Q30" s="520" t="e">
        <f>MAX(0,ROUND((Queuing!T29/60)*CPRVq1,0))</f>
        <v>#N/A</v>
      </c>
      <c r="R30" s="518" t="e">
        <f t="shared" si="3"/>
        <v>#N/A</v>
      </c>
      <c r="S30" s="519" t="e">
        <f>MAX(0,ROUND(Volumes!BV28*CPPCf1,0))</f>
        <v>#N/A</v>
      </c>
      <c r="T30" s="520" t="e">
        <f>MAX(0,ROUND(Volumes!BW28*CPSUf1,0))</f>
        <v>#N/A</v>
      </c>
      <c r="U30" s="520" t="e">
        <f>MAX(0,ROUND(Volumes!BX28*CPCTf1,0))</f>
        <v>#N/A</v>
      </c>
      <c r="V30" s="520" t="e">
        <f>MAX(0,ROUND(Volumes!BY28*CPRVf1,0))</f>
        <v>#N/A</v>
      </c>
      <c r="W30" s="518" t="e">
        <f t="shared" si="4"/>
        <v>#N/A</v>
      </c>
      <c r="X30" s="519" t="e">
        <f>MAX(0,ROUND(Volumes!CB28*CPPCd11,0))</f>
        <v>#N/A</v>
      </c>
      <c r="Y30" s="520" t="e">
        <f>MAX(0,ROUND(Volumes!CC28*CPSUd11,0))</f>
        <v>#N/A</v>
      </c>
      <c r="Z30" s="520" t="e">
        <f>MAX(0,ROUND(Volumes!CD28*CPCTd11,0))</f>
        <v>#N/A</v>
      </c>
      <c r="AA30" s="520" t="e">
        <f>MAX(0,ROUND(Volumes!CE28*CPRVd11,0))</f>
        <v>#N/A</v>
      </c>
      <c r="AB30" s="518" t="e">
        <f t="shared" si="5"/>
        <v>#N/A</v>
      </c>
      <c r="AC30" s="519" t="e">
        <f>MAX(0,ROUND(Volumes!CH28*CPPCd21,0))</f>
        <v>#N/A</v>
      </c>
      <c r="AD30" s="520" t="e">
        <f>MAX(0,ROUND(Volumes!CI28*CPSUd21,0))</f>
        <v>#N/A</v>
      </c>
      <c r="AE30" s="520" t="e">
        <f>MAX(0,ROUND(Volumes!CJ28*CPCTd21,0))</f>
        <v>#N/A</v>
      </c>
      <c r="AF30" s="520" t="e">
        <f>MAX(0,ROUND(Volumes!CK28*CPRVd21,0))</f>
        <v>#N/A</v>
      </c>
      <c r="AG30" s="518" t="e">
        <f t="shared" si="6"/>
        <v>#N/A</v>
      </c>
      <c r="AH30" s="521" t="e">
        <f>MAX(0,ROUND(Volumes!CN28*CPPCd31,0))</f>
        <v>#N/A</v>
      </c>
      <c r="AI30" s="520" t="e">
        <f>MAX(0,ROUND(Volumes!CO28*CPSUd31,0))</f>
        <v>#N/A</v>
      </c>
      <c r="AJ30" s="520" t="e">
        <f>MAX(0,ROUND(Volumes!CP28*CPCTd31,0))</f>
        <v>#N/A</v>
      </c>
      <c r="AK30" s="520" t="e">
        <f>MAX(0,ROUND(Volumes!CQ28*CPRVd31,0))</f>
        <v>#N/A</v>
      </c>
      <c r="AL30" s="517" t="e">
        <f t="shared" si="7"/>
        <v>#N/A</v>
      </c>
    </row>
    <row r="31" spans="1:38" x14ac:dyDescent="0.25">
      <c r="A31" s="319"/>
      <c r="B31" s="314">
        <f t="shared" si="8"/>
        <v>0.87499999999999967</v>
      </c>
      <c r="C31" s="177" t="str">
        <f t="shared" si="0"/>
        <v>YES</v>
      </c>
      <c r="D31" s="522" t="e">
        <f t="shared" si="1"/>
        <v>#N/A</v>
      </c>
      <c r="E31" s="517" t="e">
        <f t="shared" si="1"/>
        <v>#N/A</v>
      </c>
      <c r="F31" s="517" t="e">
        <f t="shared" si="1"/>
        <v>#N/A</v>
      </c>
      <c r="G31" s="523" t="e">
        <f t="shared" si="1"/>
        <v>#N/A</v>
      </c>
      <c r="H31" s="518" t="e">
        <f t="shared" si="1"/>
        <v>#N/A</v>
      </c>
      <c r="I31" s="516" t="e">
        <f>MAX(0,ROUND(Volumes!BV29*CPPCwz1,0))</f>
        <v>#N/A</v>
      </c>
      <c r="J31" s="517" t="e">
        <f>MAX(0,ROUND(Volumes!BW29*CPSUwz1,0))</f>
        <v>#N/A</v>
      </c>
      <c r="K31" s="517" t="e">
        <f>MAX(0,ROUND(Volumes!BX29*CPCTwz1,0))</f>
        <v>#N/A</v>
      </c>
      <c r="L31" s="517" t="e">
        <f>MAX(0,ROUND(Volumes!BY29*CPRVwz1,0))</f>
        <v>#N/A</v>
      </c>
      <c r="M31" s="518" t="e">
        <f t="shared" si="2"/>
        <v>#N/A</v>
      </c>
      <c r="N31" s="519" t="e">
        <f>MAX(0,ROUND((Queuing!Q30/60)*CPPCq1,0))</f>
        <v>#N/A</v>
      </c>
      <c r="O31" s="520" t="e">
        <f>MAX(0,ROUND((Queuing!R30/60)*CPSUq1,0))</f>
        <v>#N/A</v>
      </c>
      <c r="P31" s="520" t="e">
        <f>MAX(0,ROUND((Queuing!S30/60)*CPCTq1,0))</f>
        <v>#N/A</v>
      </c>
      <c r="Q31" s="520" t="e">
        <f>MAX(0,ROUND((Queuing!T30/60)*CPRVq1,0))</f>
        <v>#N/A</v>
      </c>
      <c r="R31" s="518" t="e">
        <f t="shared" si="3"/>
        <v>#N/A</v>
      </c>
      <c r="S31" s="519" t="e">
        <f>MAX(0,ROUND(Volumes!BV29*CPPCf1,0))</f>
        <v>#N/A</v>
      </c>
      <c r="T31" s="520" t="e">
        <f>MAX(0,ROUND(Volumes!BW29*CPSUf1,0))</f>
        <v>#N/A</v>
      </c>
      <c r="U31" s="520" t="e">
        <f>MAX(0,ROUND(Volumes!BX29*CPCTf1,0))</f>
        <v>#N/A</v>
      </c>
      <c r="V31" s="520" t="e">
        <f>MAX(0,ROUND(Volumes!BY29*CPRVf1,0))</f>
        <v>#N/A</v>
      </c>
      <c r="W31" s="518" t="e">
        <f t="shared" si="4"/>
        <v>#N/A</v>
      </c>
      <c r="X31" s="519" t="e">
        <f>MAX(0,ROUND(Volumes!CB29*CPPCd11,0))</f>
        <v>#N/A</v>
      </c>
      <c r="Y31" s="520" t="e">
        <f>MAX(0,ROUND(Volumes!CC29*CPSUd11,0))</f>
        <v>#N/A</v>
      </c>
      <c r="Z31" s="520" t="e">
        <f>MAX(0,ROUND(Volumes!CD29*CPCTd11,0))</f>
        <v>#N/A</v>
      </c>
      <c r="AA31" s="520" t="e">
        <f>MAX(0,ROUND(Volumes!CE29*CPRVd11,0))</f>
        <v>#N/A</v>
      </c>
      <c r="AB31" s="518" t="e">
        <f t="shared" si="5"/>
        <v>#N/A</v>
      </c>
      <c r="AC31" s="519" t="e">
        <f>MAX(0,ROUND(Volumes!CH29*CPPCd21,0))</f>
        <v>#N/A</v>
      </c>
      <c r="AD31" s="520" t="e">
        <f>MAX(0,ROUND(Volumes!CI29*CPSUd21,0))</f>
        <v>#N/A</v>
      </c>
      <c r="AE31" s="520" t="e">
        <f>MAX(0,ROUND(Volumes!CJ29*CPCTd21,0))</f>
        <v>#N/A</v>
      </c>
      <c r="AF31" s="520" t="e">
        <f>MAX(0,ROUND(Volumes!CK29*CPRVd21,0))</f>
        <v>#N/A</v>
      </c>
      <c r="AG31" s="518" t="e">
        <f t="shared" si="6"/>
        <v>#N/A</v>
      </c>
      <c r="AH31" s="521" t="e">
        <f>MAX(0,ROUND(Volumes!CN29*CPPCd31,0))</f>
        <v>#N/A</v>
      </c>
      <c r="AI31" s="520" t="e">
        <f>MAX(0,ROUND(Volumes!CO29*CPSUd31,0))</f>
        <v>#N/A</v>
      </c>
      <c r="AJ31" s="520" t="e">
        <f>MAX(0,ROUND(Volumes!CP29*CPCTd31,0))</f>
        <v>#N/A</v>
      </c>
      <c r="AK31" s="520" t="e">
        <f>MAX(0,ROUND(Volumes!CQ29*CPRVd31,0))</f>
        <v>#N/A</v>
      </c>
      <c r="AL31" s="517" t="e">
        <f t="shared" si="7"/>
        <v>#N/A</v>
      </c>
    </row>
    <row r="32" spans="1:38" x14ac:dyDescent="0.25">
      <c r="A32" s="319"/>
      <c r="B32" s="314">
        <f t="shared" si="8"/>
        <v>0.9166666666666663</v>
      </c>
      <c r="C32" s="177" t="str">
        <f t="shared" si="0"/>
        <v>YES</v>
      </c>
      <c r="D32" s="516" t="e">
        <f t="shared" si="1"/>
        <v>#N/A</v>
      </c>
      <c r="E32" s="517" t="e">
        <f t="shared" si="1"/>
        <v>#N/A</v>
      </c>
      <c r="F32" s="517" t="e">
        <f t="shared" si="1"/>
        <v>#N/A</v>
      </c>
      <c r="G32" s="517" t="e">
        <f t="shared" si="1"/>
        <v>#N/A</v>
      </c>
      <c r="H32" s="518" t="e">
        <f t="shared" si="1"/>
        <v>#N/A</v>
      </c>
      <c r="I32" s="516" t="e">
        <f>MAX(0,ROUND(Volumes!BV30*CPPCwz1,0))</f>
        <v>#N/A</v>
      </c>
      <c r="J32" s="517" t="e">
        <f>MAX(0,ROUND(Volumes!BW30*CPSUwz1,0))</f>
        <v>#N/A</v>
      </c>
      <c r="K32" s="517" t="e">
        <f>MAX(0,ROUND(Volumes!BX30*CPCTwz1,0))</f>
        <v>#N/A</v>
      </c>
      <c r="L32" s="517" t="e">
        <f>MAX(0,ROUND(Volumes!BY30*CPRVwz1,0))</f>
        <v>#N/A</v>
      </c>
      <c r="M32" s="518" t="e">
        <f t="shared" si="2"/>
        <v>#N/A</v>
      </c>
      <c r="N32" s="519" t="e">
        <f>MAX(0,ROUND((Queuing!Q31/60)*CPPCq1,0))</f>
        <v>#N/A</v>
      </c>
      <c r="O32" s="520" t="e">
        <f>MAX(0,ROUND((Queuing!R31/60)*CPSUq1,0))</f>
        <v>#N/A</v>
      </c>
      <c r="P32" s="520" t="e">
        <f>MAX(0,ROUND((Queuing!S31/60)*CPCTq1,0))</f>
        <v>#N/A</v>
      </c>
      <c r="Q32" s="520" t="e">
        <f>MAX(0,ROUND((Queuing!T31/60)*CPRVq1,0))</f>
        <v>#N/A</v>
      </c>
      <c r="R32" s="518" t="e">
        <f t="shared" si="3"/>
        <v>#N/A</v>
      </c>
      <c r="S32" s="519" t="e">
        <f>MAX(0,ROUND(Volumes!BV30*CPPCf1,0))</f>
        <v>#N/A</v>
      </c>
      <c r="T32" s="520" t="e">
        <f>MAX(0,ROUND(Volumes!BW30*CPSUf1,0))</f>
        <v>#N/A</v>
      </c>
      <c r="U32" s="520" t="e">
        <f>MAX(0,ROUND(Volumes!BX30*CPCTf1,0))</f>
        <v>#N/A</v>
      </c>
      <c r="V32" s="520" t="e">
        <f>MAX(0,ROUND(Volumes!BY30*CPRVf1,0))</f>
        <v>#N/A</v>
      </c>
      <c r="W32" s="518" t="e">
        <f t="shared" si="4"/>
        <v>#N/A</v>
      </c>
      <c r="X32" s="519" t="e">
        <f>MAX(0,ROUND(Volumes!CB30*CPPCd11,0))</f>
        <v>#N/A</v>
      </c>
      <c r="Y32" s="520" t="e">
        <f>MAX(0,ROUND(Volumes!CC30*CPSUd11,0))</f>
        <v>#N/A</v>
      </c>
      <c r="Z32" s="520" t="e">
        <f>MAX(0,ROUND(Volumes!CD30*CPCTd11,0))</f>
        <v>#N/A</v>
      </c>
      <c r="AA32" s="520" t="e">
        <f>MAX(0,ROUND(Volumes!CE30*CPRVd11,0))</f>
        <v>#N/A</v>
      </c>
      <c r="AB32" s="518" t="e">
        <f t="shared" si="5"/>
        <v>#N/A</v>
      </c>
      <c r="AC32" s="519" t="e">
        <f>MAX(0,ROUND(Volumes!CH30*CPPCd21,0))</f>
        <v>#N/A</v>
      </c>
      <c r="AD32" s="520" t="e">
        <f>MAX(0,ROUND(Volumes!CI30*CPSUd21,0))</f>
        <v>#N/A</v>
      </c>
      <c r="AE32" s="520" t="e">
        <f>MAX(0,ROUND(Volumes!CJ30*CPCTd21,0))</f>
        <v>#N/A</v>
      </c>
      <c r="AF32" s="520" t="e">
        <f>MAX(0,ROUND(Volumes!CK30*CPRVd21,0))</f>
        <v>#N/A</v>
      </c>
      <c r="AG32" s="518" t="e">
        <f t="shared" si="6"/>
        <v>#N/A</v>
      </c>
      <c r="AH32" s="521" t="e">
        <f>MAX(0,ROUND(Volumes!CN30*CPPCd31,0))</f>
        <v>#N/A</v>
      </c>
      <c r="AI32" s="520" t="e">
        <f>MAX(0,ROUND(Volumes!CO30*CPSUd31,0))</f>
        <v>#N/A</v>
      </c>
      <c r="AJ32" s="520" t="e">
        <f>MAX(0,ROUND(Volumes!CP30*CPCTd31,0))</f>
        <v>#N/A</v>
      </c>
      <c r="AK32" s="520" t="e">
        <f>MAX(0,ROUND(Volumes!CQ30*CPRVd31,0))</f>
        <v>#N/A</v>
      </c>
      <c r="AL32" s="517" t="e">
        <f t="shared" si="7"/>
        <v>#N/A</v>
      </c>
    </row>
    <row r="33" spans="1:38" x14ac:dyDescent="0.25">
      <c r="A33" s="319"/>
      <c r="B33" s="314">
        <f t="shared" si="8"/>
        <v>0.95833333333333293</v>
      </c>
      <c r="C33" s="177" t="str">
        <f t="shared" si="0"/>
        <v>YES</v>
      </c>
      <c r="D33" s="516" t="e">
        <f t="shared" si="1"/>
        <v>#N/A</v>
      </c>
      <c r="E33" s="517" t="e">
        <f t="shared" si="1"/>
        <v>#N/A</v>
      </c>
      <c r="F33" s="517" t="e">
        <f t="shared" si="1"/>
        <v>#N/A</v>
      </c>
      <c r="G33" s="517" t="e">
        <f t="shared" si="1"/>
        <v>#N/A</v>
      </c>
      <c r="H33" s="518" t="e">
        <f t="shared" si="1"/>
        <v>#N/A</v>
      </c>
      <c r="I33" s="516" t="e">
        <f>MAX(0,ROUND(Volumes!BV31*CPPCwz1,0))</f>
        <v>#N/A</v>
      </c>
      <c r="J33" s="517" t="e">
        <f>MAX(0,ROUND(Volumes!BW31*CPSUwz1,0))</f>
        <v>#N/A</v>
      </c>
      <c r="K33" s="517" t="e">
        <f>MAX(0,ROUND(Volumes!BX31*CPCTwz1,0))</f>
        <v>#N/A</v>
      </c>
      <c r="L33" s="517" t="e">
        <f>MAX(0,ROUND(Volumes!BY31*CPRVwz1,0))</f>
        <v>#N/A</v>
      </c>
      <c r="M33" s="518" t="e">
        <f t="shared" si="2"/>
        <v>#N/A</v>
      </c>
      <c r="N33" s="519" t="e">
        <f>MAX(0,ROUND((Queuing!Q32/60)*CPPCq1,0))</f>
        <v>#N/A</v>
      </c>
      <c r="O33" s="520" t="e">
        <f>MAX(0,ROUND((Queuing!R32/60)*CPSUq1,0))</f>
        <v>#N/A</v>
      </c>
      <c r="P33" s="520" t="e">
        <f>MAX(0,ROUND((Queuing!S32/60)*CPCTq1,0))</f>
        <v>#N/A</v>
      </c>
      <c r="Q33" s="520" t="e">
        <f>MAX(0,ROUND((Queuing!T32/60)*CPRVq1,0))</f>
        <v>#N/A</v>
      </c>
      <c r="R33" s="518" t="e">
        <f t="shared" si="3"/>
        <v>#N/A</v>
      </c>
      <c r="S33" s="519" t="e">
        <f>MAX(0,ROUND(Volumes!BV31*CPPCf1,0))</f>
        <v>#N/A</v>
      </c>
      <c r="T33" s="520" t="e">
        <f>MAX(0,ROUND(Volumes!BW31*CPSUf1,0))</f>
        <v>#N/A</v>
      </c>
      <c r="U33" s="520" t="e">
        <f>MAX(0,ROUND(Volumes!BX31*CPCTf1,0))</f>
        <v>#N/A</v>
      </c>
      <c r="V33" s="520" t="e">
        <f>MAX(0,ROUND(Volumes!BY31*CPRVf1,0))</f>
        <v>#N/A</v>
      </c>
      <c r="W33" s="518" t="e">
        <f t="shared" si="4"/>
        <v>#N/A</v>
      </c>
      <c r="X33" s="519" t="e">
        <f>MAX(0,ROUND(Volumes!CB31*CPPCd11,0))</f>
        <v>#N/A</v>
      </c>
      <c r="Y33" s="520" t="e">
        <f>MAX(0,ROUND(Volumes!CC31*CPSUd11,0))</f>
        <v>#N/A</v>
      </c>
      <c r="Z33" s="520" t="e">
        <f>MAX(0,ROUND(Volumes!CD31*CPCTd11,0))</f>
        <v>#N/A</v>
      </c>
      <c r="AA33" s="520" t="e">
        <f>MAX(0,ROUND(Volumes!CE31*CPRVd11,0))</f>
        <v>#N/A</v>
      </c>
      <c r="AB33" s="518" t="e">
        <f t="shared" si="5"/>
        <v>#N/A</v>
      </c>
      <c r="AC33" s="519" t="e">
        <f>MAX(0,ROUND(Volumes!CH31*CPPCd21,0))</f>
        <v>#N/A</v>
      </c>
      <c r="AD33" s="520" t="e">
        <f>MAX(0,ROUND(Volumes!CI31*CPSUd21,0))</f>
        <v>#N/A</v>
      </c>
      <c r="AE33" s="520" t="e">
        <f>MAX(0,ROUND(Volumes!CJ31*CPCTd21,0))</f>
        <v>#N/A</v>
      </c>
      <c r="AF33" s="520" t="e">
        <f>MAX(0,ROUND(Volumes!CK31*CPRVd21,0))</f>
        <v>#N/A</v>
      </c>
      <c r="AG33" s="518" t="e">
        <f t="shared" si="6"/>
        <v>#N/A</v>
      </c>
      <c r="AH33" s="521" t="e">
        <f>MAX(0,ROUND(Volumes!CN31*CPPCd31,0))</f>
        <v>#N/A</v>
      </c>
      <c r="AI33" s="520" t="e">
        <f>MAX(0,ROUND(Volumes!CO31*CPSUd31,0))</f>
        <v>#N/A</v>
      </c>
      <c r="AJ33" s="520" t="e">
        <f>MAX(0,ROUND(Volumes!CP31*CPCTd31,0))</f>
        <v>#N/A</v>
      </c>
      <c r="AK33" s="520" t="e">
        <f>MAX(0,ROUND(Volumes!CQ31*CPRVd31,0))</f>
        <v>#N/A</v>
      </c>
      <c r="AL33" s="517" t="e">
        <f t="shared" si="7"/>
        <v>#N/A</v>
      </c>
    </row>
    <row r="34" spans="1:38" s="35" customFormat="1" x14ac:dyDescent="0.25">
      <c r="B34" s="1191" t="s">
        <v>844</v>
      </c>
      <c r="C34" s="1192"/>
      <c r="D34" s="524" t="e">
        <f>SUM(D10:D33)</f>
        <v>#N/A</v>
      </c>
      <c r="E34" s="525" t="e">
        <f>SUM(E10:E33)</f>
        <v>#N/A</v>
      </c>
      <c r="F34" s="525" t="e">
        <f t="shared" ref="F34:AA34" si="9">SUM(F10:F33)</f>
        <v>#N/A</v>
      </c>
      <c r="G34" s="525" t="e">
        <f t="shared" si="9"/>
        <v>#N/A</v>
      </c>
      <c r="H34" s="525" t="e">
        <f t="shared" si="9"/>
        <v>#N/A</v>
      </c>
      <c r="I34" s="524" t="e">
        <f>SUM(I10:I33)</f>
        <v>#N/A</v>
      </c>
      <c r="J34" s="525" t="e">
        <f t="shared" si="9"/>
        <v>#N/A</v>
      </c>
      <c r="K34" s="525" t="e">
        <f t="shared" si="9"/>
        <v>#N/A</v>
      </c>
      <c r="L34" s="525" t="e">
        <f t="shared" si="9"/>
        <v>#N/A</v>
      </c>
      <c r="M34" s="525" t="e">
        <f t="shared" si="9"/>
        <v>#N/A</v>
      </c>
      <c r="N34" s="524" t="e">
        <f t="shared" si="9"/>
        <v>#N/A</v>
      </c>
      <c r="O34" s="525" t="e">
        <f t="shared" si="9"/>
        <v>#N/A</v>
      </c>
      <c r="P34" s="525" t="e">
        <f t="shared" si="9"/>
        <v>#N/A</v>
      </c>
      <c r="Q34" s="525" t="e">
        <f t="shared" si="9"/>
        <v>#N/A</v>
      </c>
      <c r="R34" s="525" t="e">
        <f t="shared" si="9"/>
        <v>#N/A</v>
      </c>
      <c r="S34" s="524" t="e">
        <f>SUM(S10:S33)</f>
        <v>#N/A</v>
      </c>
      <c r="T34" s="525" t="e">
        <f t="shared" si="9"/>
        <v>#N/A</v>
      </c>
      <c r="U34" s="525" t="e">
        <f t="shared" si="9"/>
        <v>#N/A</v>
      </c>
      <c r="V34" s="525" t="e">
        <f t="shared" si="9"/>
        <v>#N/A</v>
      </c>
      <c r="W34" s="525" t="e">
        <f t="shared" si="9"/>
        <v>#N/A</v>
      </c>
      <c r="X34" s="524" t="e">
        <f>SUM(X10:X33)</f>
        <v>#N/A</v>
      </c>
      <c r="Y34" s="525" t="e">
        <f t="shared" si="9"/>
        <v>#N/A</v>
      </c>
      <c r="Z34" s="525" t="e">
        <f t="shared" si="9"/>
        <v>#N/A</v>
      </c>
      <c r="AA34" s="525" t="e">
        <f t="shared" si="9"/>
        <v>#N/A</v>
      </c>
      <c r="AB34" s="525" t="e">
        <f>SUM(AB10:AB33)</f>
        <v>#N/A</v>
      </c>
      <c r="AC34" s="524" t="e">
        <f>SUM(AC10:AC33)</f>
        <v>#N/A</v>
      </c>
      <c r="AD34" s="525" t="e">
        <f t="shared" ref="AD34" si="10">SUM(AD10:AD33)</f>
        <v>#N/A</v>
      </c>
      <c r="AE34" s="525" t="e">
        <f t="shared" ref="AE34" si="11">SUM(AE10:AE33)</f>
        <v>#N/A</v>
      </c>
      <c r="AF34" s="525" t="e">
        <f t="shared" ref="AF34" si="12">SUM(AF10:AF33)</f>
        <v>#N/A</v>
      </c>
      <c r="AG34" s="525" t="e">
        <f>SUM(AG10:AG33)</f>
        <v>#N/A</v>
      </c>
      <c r="AH34" s="524" t="e">
        <f>SUM(AH10:AH33)</f>
        <v>#N/A</v>
      </c>
      <c r="AI34" s="525" t="e">
        <f t="shared" ref="AI34" si="13">SUM(AI10:AI33)</f>
        <v>#N/A</v>
      </c>
      <c r="AJ34" s="525" t="e">
        <f t="shared" ref="AJ34" si="14">SUM(AJ10:AJ33)</f>
        <v>#N/A</v>
      </c>
      <c r="AK34" s="525" t="e">
        <f t="shared" ref="AK34" si="15">SUM(AK10:AK33)</f>
        <v>#N/A</v>
      </c>
      <c r="AL34" s="525" t="e">
        <f>SUM(AL10:AL33)</f>
        <v>#N/A</v>
      </c>
    </row>
    <row r="35" spans="1:38" x14ac:dyDescent="0.25">
      <c r="B35" s="1191" t="s">
        <v>528</v>
      </c>
      <c r="C35" s="1192"/>
      <c r="D35" s="524" t="e">
        <f>SUMIF($C10:$C33,"YES",D10:D33)</f>
        <v>#N/A</v>
      </c>
      <c r="E35" s="525" t="e">
        <f>SUMIF($C10:$C33,"YES",E10:E33)</f>
        <v>#N/A</v>
      </c>
      <c r="F35" s="525" t="e">
        <f t="shared" ref="F35:AB35" si="16">SUMIF($C10:$C33,"YES",F10:F33)</f>
        <v>#N/A</v>
      </c>
      <c r="G35" s="525" t="e">
        <f t="shared" si="16"/>
        <v>#N/A</v>
      </c>
      <c r="H35" s="525" t="e">
        <f t="shared" si="16"/>
        <v>#N/A</v>
      </c>
      <c r="I35" s="524" t="e">
        <f t="shared" si="16"/>
        <v>#N/A</v>
      </c>
      <c r="J35" s="525" t="e">
        <f t="shared" si="16"/>
        <v>#N/A</v>
      </c>
      <c r="K35" s="525" t="e">
        <f t="shared" si="16"/>
        <v>#N/A</v>
      </c>
      <c r="L35" s="525" t="e">
        <f t="shared" si="16"/>
        <v>#N/A</v>
      </c>
      <c r="M35" s="525" t="e">
        <f t="shared" si="16"/>
        <v>#N/A</v>
      </c>
      <c r="N35" s="524" t="e">
        <f t="shared" si="16"/>
        <v>#N/A</v>
      </c>
      <c r="O35" s="525" t="e">
        <f t="shared" si="16"/>
        <v>#N/A</v>
      </c>
      <c r="P35" s="525" t="e">
        <f t="shared" si="16"/>
        <v>#N/A</v>
      </c>
      <c r="Q35" s="525" t="e">
        <f t="shared" si="16"/>
        <v>#N/A</v>
      </c>
      <c r="R35" s="525" t="e">
        <f t="shared" si="16"/>
        <v>#N/A</v>
      </c>
      <c r="S35" s="524" t="e">
        <f>SUMIF($C10:$C33,"YES",S10:S33)</f>
        <v>#N/A</v>
      </c>
      <c r="T35" s="525" t="e">
        <f t="shared" si="16"/>
        <v>#N/A</v>
      </c>
      <c r="U35" s="525" t="e">
        <f t="shared" si="16"/>
        <v>#N/A</v>
      </c>
      <c r="V35" s="525" t="e">
        <f t="shared" si="16"/>
        <v>#N/A</v>
      </c>
      <c r="W35" s="525" t="e">
        <f t="shared" si="16"/>
        <v>#N/A</v>
      </c>
      <c r="X35" s="524" t="e">
        <f t="shared" si="16"/>
        <v>#N/A</v>
      </c>
      <c r="Y35" s="525" t="e">
        <f t="shared" si="16"/>
        <v>#N/A</v>
      </c>
      <c r="Z35" s="525" t="e">
        <f t="shared" si="16"/>
        <v>#N/A</v>
      </c>
      <c r="AA35" s="525" t="e">
        <f t="shared" si="16"/>
        <v>#N/A</v>
      </c>
      <c r="AB35" s="525" t="e">
        <f t="shared" si="16"/>
        <v>#N/A</v>
      </c>
      <c r="AC35" s="524" t="e">
        <f t="shared" ref="AC35:AL35" si="17">SUMIF($C10:$C33,"YES",AC10:AC33)</f>
        <v>#N/A</v>
      </c>
      <c r="AD35" s="525" t="e">
        <f t="shared" si="17"/>
        <v>#N/A</v>
      </c>
      <c r="AE35" s="525" t="e">
        <f t="shared" si="17"/>
        <v>#N/A</v>
      </c>
      <c r="AF35" s="525" t="e">
        <f t="shared" si="17"/>
        <v>#N/A</v>
      </c>
      <c r="AG35" s="525" t="e">
        <f t="shared" si="17"/>
        <v>#N/A</v>
      </c>
      <c r="AH35" s="524" t="e">
        <f t="shared" si="17"/>
        <v>#N/A</v>
      </c>
      <c r="AI35" s="525" t="e">
        <f t="shared" si="17"/>
        <v>#N/A</v>
      </c>
      <c r="AJ35" s="525" t="e">
        <f t="shared" si="17"/>
        <v>#N/A</v>
      </c>
      <c r="AK35" s="525" t="e">
        <f t="shared" si="17"/>
        <v>#N/A</v>
      </c>
      <c r="AL35" s="525" t="e">
        <f t="shared" si="17"/>
        <v>#N/A</v>
      </c>
    </row>
    <row r="36" spans="1:38" s="35" customFormat="1" x14ac:dyDescent="0.25">
      <c r="B36" s="1178">
        <v>1</v>
      </c>
      <c r="C36" s="1179"/>
      <c r="D36" s="524" t="str">
        <f t="shared" ref="D36:AL36" ca="1" si="18">IF(HoursWZ1+$B36&gt;24,"-",OFFSET($C$8,HoursWZ1+$B36+1,D$9))</f>
        <v>-</v>
      </c>
      <c r="E36" s="525" t="str">
        <f t="shared" ca="1" si="18"/>
        <v>-</v>
      </c>
      <c r="F36" s="525" t="str">
        <f t="shared" ca="1" si="18"/>
        <v>-</v>
      </c>
      <c r="G36" s="525" t="str">
        <f t="shared" ca="1" si="18"/>
        <v>-</v>
      </c>
      <c r="H36" s="525" t="str">
        <f t="shared" ca="1" si="18"/>
        <v>-</v>
      </c>
      <c r="I36" s="524" t="str">
        <f t="shared" ca="1" si="18"/>
        <v>-</v>
      </c>
      <c r="J36" s="525" t="str">
        <f t="shared" ca="1" si="18"/>
        <v>-</v>
      </c>
      <c r="K36" s="525" t="str">
        <f t="shared" ca="1" si="18"/>
        <v>-</v>
      </c>
      <c r="L36" s="525" t="str">
        <f t="shared" ca="1" si="18"/>
        <v>-</v>
      </c>
      <c r="M36" s="525" t="str">
        <f t="shared" ca="1" si="18"/>
        <v>-</v>
      </c>
      <c r="N36" s="524" t="str">
        <f t="shared" ca="1" si="18"/>
        <v>-</v>
      </c>
      <c r="O36" s="525" t="str">
        <f t="shared" ca="1" si="18"/>
        <v>-</v>
      </c>
      <c r="P36" s="525" t="str">
        <f t="shared" ca="1" si="18"/>
        <v>-</v>
      </c>
      <c r="Q36" s="525" t="str">
        <f t="shared" ca="1" si="18"/>
        <v>-</v>
      </c>
      <c r="R36" s="525" t="str">
        <f t="shared" ca="1" si="18"/>
        <v>-</v>
      </c>
      <c r="S36" s="524" t="str">
        <f t="shared" ca="1" si="18"/>
        <v>-</v>
      </c>
      <c r="T36" s="525" t="str">
        <f t="shared" ca="1" si="18"/>
        <v>-</v>
      </c>
      <c r="U36" s="525" t="str">
        <f t="shared" ca="1" si="18"/>
        <v>-</v>
      </c>
      <c r="V36" s="525" t="str">
        <f t="shared" ca="1" si="18"/>
        <v>-</v>
      </c>
      <c r="W36" s="525" t="str">
        <f t="shared" ca="1" si="18"/>
        <v>-</v>
      </c>
      <c r="X36" s="524" t="str">
        <f t="shared" ca="1" si="18"/>
        <v>-</v>
      </c>
      <c r="Y36" s="525" t="str">
        <f t="shared" ca="1" si="18"/>
        <v>-</v>
      </c>
      <c r="Z36" s="525" t="str">
        <f t="shared" ca="1" si="18"/>
        <v>-</v>
      </c>
      <c r="AA36" s="525" t="str">
        <f t="shared" ca="1" si="18"/>
        <v>-</v>
      </c>
      <c r="AB36" s="525" t="str">
        <f t="shared" ca="1" si="18"/>
        <v>-</v>
      </c>
      <c r="AC36" s="524" t="str">
        <f t="shared" ca="1" si="18"/>
        <v>-</v>
      </c>
      <c r="AD36" s="525" t="str">
        <f t="shared" ca="1" si="18"/>
        <v>-</v>
      </c>
      <c r="AE36" s="525" t="str">
        <f t="shared" ca="1" si="18"/>
        <v>-</v>
      </c>
      <c r="AF36" s="525" t="str">
        <f t="shared" ca="1" si="18"/>
        <v>-</v>
      </c>
      <c r="AG36" s="525" t="str">
        <f t="shared" ca="1" si="18"/>
        <v>-</v>
      </c>
      <c r="AH36" s="524" t="str">
        <f t="shared" ca="1" si="18"/>
        <v>-</v>
      </c>
      <c r="AI36" s="525" t="str">
        <f t="shared" ca="1" si="18"/>
        <v>-</v>
      </c>
      <c r="AJ36" s="525" t="str">
        <f t="shared" ca="1" si="18"/>
        <v>-</v>
      </c>
      <c r="AK36" s="525" t="str">
        <f t="shared" ca="1" si="18"/>
        <v>-</v>
      </c>
      <c r="AL36" s="525" t="str">
        <f t="shared" ca="1" si="18"/>
        <v>-</v>
      </c>
    </row>
    <row r="37" spans="1:38" s="35" customFormat="1" x14ac:dyDescent="0.25">
      <c r="B37" s="1176">
        <v>2</v>
      </c>
      <c r="C37" s="1177"/>
      <c r="D37" s="524" t="str">
        <f t="shared" ref="D37:D59" ca="1" si="19">IF(HoursWZ1+$B37&gt;24,"-",OFFSET($C$8,HoursWZ1+$B37+1,D$9)+D36)</f>
        <v>-</v>
      </c>
      <c r="E37" s="525" t="str">
        <f t="shared" ref="E37:E59" ca="1" si="20">IF(HoursWZ1+$B37&gt;24,"-",OFFSET($C$8,HoursWZ1+$B37+1,E$9)+E36)</f>
        <v>-</v>
      </c>
      <c r="F37" s="525" t="str">
        <f t="shared" ref="F37:F59" ca="1" si="21">IF(HoursWZ1+$B37&gt;24,"-",OFFSET($C$8,HoursWZ1+$B37+1,F$9)+F36)</f>
        <v>-</v>
      </c>
      <c r="G37" s="525" t="str">
        <f t="shared" ref="G37:G59" ca="1" si="22">IF(HoursWZ1+$B37&gt;24,"-",OFFSET($C$8,HoursWZ1+$B37+1,G$9)+G36)</f>
        <v>-</v>
      </c>
      <c r="H37" s="525" t="str">
        <f t="shared" ref="H37:H59" ca="1" si="23">IF(HoursWZ1+$B37&gt;24,"-",OFFSET($C$8,HoursWZ1+$B37+1,H$9)+H36)</f>
        <v>-</v>
      </c>
      <c r="I37" s="524" t="str">
        <f t="shared" ref="I37:I59" ca="1" si="24">IF(HoursWZ1+$B37&gt;24,"-",OFFSET($C$8,HoursWZ1+$B37+1,I$9)+I36)</f>
        <v>-</v>
      </c>
      <c r="J37" s="525" t="str">
        <f t="shared" ref="J37:J59" ca="1" si="25">IF(HoursWZ1+$B37&gt;24,"-",OFFSET($C$8,HoursWZ1+$B37+1,J$9)+J36)</f>
        <v>-</v>
      </c>
      <c r="K37" s="525" t="str">
        <f t="shared" ref="K37:K59" ca="1" si="26">IF(HoursWZ1+$B37&gt;24,"-",OFFSET($C$8,HoursWZ1+$B37+1,K$9)+K36)</f>
        <v>-</v>
      </c>
      <c r="L37" s="525" t="str">
        <f t="shared" ref="L37:L59" ca="1" si="27">IF(HoursWZ1+$B37&gt;24,"-",OFFSET($C$8,HoursWZ1+$B37+1,L$9)+L36)</f>
        <v>-</v>
      </c>
      <c r="M37" s="525" t="str">
        <f t="shared" ref="M37:M59" ca="1" si="28">IF(HoursWZ1+$B37&gt;24,"-",OFFSET($C$8,HoursWZ1+$B37+1,M$9)+M36)</f>
        <v>-</v>
      </c>
      <c r="N37" s="524" t="str">
        <f t="shared" ref="N37:N59" ca="1" si="29">IF(HoursWZ1+$B37&gt;24,"-",OFFSET($C$8,HoursWZ1+$B37+1,N$9)+N36)</f>
        <v>-</v>
      </c>
      <c r="O37" s="525" t="str">
        <f t="shared" ref="O37:O59" ca="1" si="30">IF(HoursWZ1+$B37&gt;24,"-",OFFSET($C$8,HoursWZ1+$B37+1,O$9)+O36)</f>
        <v>-</v>
      </c>
      <c r="P37" s="525" t="str">
        <f t="shared" ref="P37:P59" ca="1" si="31">IF(HoursWZ1+$B37&gt;24,"-",OFFSET($C$8,HoursWZ1+$B37+1,P$9)+P36)</f>
        <v>-</v>
      </c>
      <c r="Q37" s="525" t="str">
        <f t="shared" ref="Q37:Q59" ca="1" si="32">IF(HoursWZ1+$B37&gt;24,"-",OFFSET($C$8,HoursWZ1+$B37+1,Q$9)+Q36)</f>
        <v>-</v>
      </c>
      <c r="R37" s="525" t="str">
        <f t="shared" ref="R37:R59" ca="1" si="33">IF(HoursWZ1+$B37&gt;24,"-",OFFSET($C$8,HoursWZ1+$B37+1,R$9)+R36)</f>
        <v>-</v>
      </c>
      <c r="S37" s="524" t="str">
        <f t="shared" ref="S37:S59" ca="1" si="34">IF(HoursWZ1+$B37&gt;24,"-",OFFSET($C$8,HoursWZ1+$B37+1,S$9)+S36)</f>
        <v>-</v>
      </c>
      <c r="T37" s="525" t="str">
        <f t="shared" ref="T37:T59" ca="1" si="35">IF(HoursWZ1+$B37&gt;24,"-",OFFSET($C$8,HoursWZ1+$B37+1,T$9)+T36)</f>
        <v>-</v>
      </c>
      <c r="U37" s="525" t="str">
        <f t="shared" ref="U37:U59" ca="1" si="36">IF(HoursWZ1+$B37&gt;24,"-",OFFSET($C$8,HoursWZ1+$B37+1,U$9)+U36)</f>
        <v>-</v>
      </c>
      <c r="V37" s="525" t="str">
        <f t="shared" ref="V37:V59" ca="1" si="37">IF(HoursWZ1+$B37&gt;24,"-",OFFSET($C$8,HoursWZ1+$B37+1,V$9)+V36)</f>
        <v>-</v>
      </c>
      <c r="W37" s="525" t="str">
        <f t="shared" ref="W37:W59" ca="1" si="38">IF(HoursWZ1+$B37&gt;24,"-",OFFSET($C$8,HoursWZ1+$B37+1,W$9)+W36)</f>
        <v>-</v>
      </c>
      <c r="X37" s="524" t="str">
        <f t="shared" ref="X37:X59" ca="1" si="39">IF(HoursWZ1+$B37&gt;24,"-",OFFSET($C$8,HoursWZ1+$B37+1,X$9)+X36)</f>
        <v>-</v>
      </c>
      <c r="Y37" s="525" t="str">
        <f t="shared" ref="Y37:Y59" ca="1" si="40">IF(HoursWZ1+$B37&gt;24,"-",OFFSET($C$8,HoursWZ1+$B37+1,Y$9)+Y36)</f>
        <v>-</v>
      </c>
      <c r="Z37" s="525" t="str">
        <f t="shared" ref="Z37:Z59" ca="1" si="41">IF(HoursWZ1+$B37&gt;24,"-",OFFSET($C$8,HoursWZ1+$B37+1,Z$9)+Z36)</f>
        <v>-</v>
      </c>
      <c r="AA37" s="525" t="str">
        <f t="shared" ref="AA37:AA59" ca="1" si="42">IF(HoursWZ1+$B37&gt;24,"-",OFFSET($C$8,HoursWZ1+$B37+1,AA$9)+AA36)</f>
        <v>-</v>
      </c>
      <c r="AB37" s="525" t="str">
        <f t="shared" ref="AB37:AB59" ca="1" si="43">IF(HoursWZ1+$B37&gt;24,"-",OFFSET($C$8,HoursWZ1+$B37+1,AB$9)+AB36)</f>
        <v>-</v>
      </c>
      <c r="AC37" s="524" t="str">
        <f t="shared" ref="AC37:AC59" ca="1" si="44">IF(HoursWZ1+$B37&gt;24,"-",OFFSET($C$8,HoursWZ1+$B37+1,AC$9)+AC36)</f>
        <v>-</v>
      </c>
      <c r="AD37" s="525" t="str">
        <f t="shared" ref="AD37:AD59" ca="1" si="45">IF(HoursWZ1+$B37&gt;24,"-",OFFSET($C$8,HoursWZ1+$B37+1,AD$9)+AD36)</f>
        <v>-</v>
      </c>
      <c r="AE37" s="525" t="str">
        <f t="shared" ref="AE37:AE59" ca="1" si="46">IF(HoursWZ1+$B37&gt;24,"-",OFFSET($C$8,HoursWZ1+$B37+1,AE$9)+AE36)</f>
        <v>-</v>
      </c>
      <c r="AF37" s="525" t="str">
        <f t="shared" ref="AF37:AF59" ca="1" si="47">IF(HoursWZ1+$B37&gt;24,"-",OFFSET($C$8,HoursWZ1+$B37+1,AF$9)+AF36)</f>
        <v>-</v>
      </c>
      <c r="AG37" s="525" t="str">
        <f t="shared" ref="AG37:AG59" ca="1" si="48">IF(HoursWZ1+$B37&gt;24,"-",OFFSET($C$8,HoursWZ1+$B37+1,AG$9)+AG36)</f>
        <v>-</v>
      </c>
      <c r="AH37" s="524" t="str">
        <f t="shared" ref="AH37:AH59" ca="1" si="49">IF(HoursWZ1+$B37&gt;24,"-",OFFSET($C$8,HoursWZ1+$B37+1,AH$9)+AH36)</f>
        <v>-</v>
      </c>
      <c r="AI37" s="525" t="str">
        <f t="shared" ref="AI37:AI59" ca="1" si="50">IF(HoursWZ1+$B37&gt;24,"-",OFFSET($C$8,HoursWZ1+$B37+1,AI$9)+AI36)</f>
        <v>-</v>
      </c>
      <c r="AJ37" s="525" t="str">
        <f t="shared" ref="AJ37:AJ59" ca="1" si="51">IF(HoursWZ1+$B37&gt;24,"-",OFFSET($C$8,HoursWZ1+$B37+1,AJ$9)+AJ36)</f>
        <v>-</v>
      </c>
      <c r="AK37" s="525" t="str">
        <f t="shared" ref="AK37:AK59" ca="1" si="52">IF(HoursWZ1+$B37&gt;24,"-",OFFSET($C$8,HoursWZ1+$B37+1,AK$9)+AK36)</f>
        <v>-</v>
      </c>
      <c r="AL37" s="525" t="str">
        <f t="shared" ref="AL37:AL59" ca="1" si="53">IF(HoursWZ1+$B37&gt;24,"-",OFFSET($C$8,HoursWZ1+$B37+1,AL$9)+AL36)</f>
        <v>-</v>
      </c>
    </row>
    <row r="38" spans="1:38" s="35" customFormat="1" x14ac:dyDescent="0.25">
      <c r="B38" s="1176">
        <v>3</v>
      </c>
      <c r="C38" s="1177"/>
      <c r="D38" s="524" t="str">
        <f t="shared" ca="1" si="19"/>
        <v>-</v>
      </c>
      <c r="E38" s="525" t="str">
        <f t="shared" ca="1" si="20"/>
        <v>-</v>
      </c>
      <c r="F38" s="525" t="str">
        <f t="shared" ca="1" si="21"/>
        <v>-</v>
      </c>
      <c r="G38" s="525" t="str">
        <f t="shared" ca="1" si="22"/>
        <v>-</v>
      </c>
      <c r="H38" s="525" t="str">
        <f t="shared" ca="1" si="23"/>
        <v>-</v>
      </c>
      <c r="I38" s="524" t="str">
        <f t="shared" ca="1" si="24"/>
        <v>-</v>
      </c>
      <c r="J38" s="525" t="str">
        <f t="shared" ca="1" si="25"/>
        <v>-</v>
      </c>
      <c r="K38" s="525" t="str">
        <f t="shared" ca="1" si="26"/>
        <v>-</v>
      </c>
      <c r="L38" s="525" t="str">
        <f t="shared" ca="1" si="27"/>
        <v>-</v>
      </c>
      <c r="M38" s="525" t="str">
        <f t="shared" ca="1" si="28"/>
        <v>-</v>
      </c>
      <c r="N38" s="524" t="str">
        <f t="shared" ca="1" si="29"/>
        <v>-</v>
      </c>
      <c r="O38" s="525" t="str">
        <f t="shared" ca="1" si="30"/>
        <v>-</v>
      </c>
      <c r="P38" s="525" t="str">
        <f t="shared" ca="1" si="31"/>
        <v>-</v>
      </c>
      <c r="Q38" s="525" t="str">
        <f t="shared" ca="1" si="32"/>
        <v>-</v>
      </c>
      <c r="R38" s="525" t="str">
        <f t="shared" ca="1" si="33"/>
        <v>-</v>
      </c>
      <c r="S38" s="524" t="str">
        <f t="shared" ca="1" si="34"/>
        <v>-</v>
      </c>
      <c r="T38" s="525" t="str">
        <f t="shared" ca="1" si="35"/>
        <v>-</v>
      </c>
      <c r="U38" s="525" t="str">
        <f t="shared" ca="1" si="36"/>
        <v>-</v>
      </c>
      <c r="V38" s="525" t="str">
        <f t="shared" ca="1" si="37"/>
        <v>-</v>
      </c>
      <c r="W38" s="525" t="str">
        <f t="shared" ca="1" si="38"/>
        <v>-</v>
      </c>
      <c r="X38" s="524" t="str">
        <f t="shared" ca="1" si="39"/>
        <v>-</v>
      </c>
      <c r="Y38" s="525" t="str">
        <f t="shared" ca="1" si="40"/>
        <v>-</v>
      </c>
      <c r="Z38" s="525" t="str">
        <f t="shared" ca="1" si="41"/>
        <v>-</v>
      </c>
      <c r="AA38" s="525" t="str">
        <f t="shared" ca="1" si="42"/>
        <v>-</v>
      </c>
      <c r="AB38" s="525" t="str">
        <f t="shared" ca="1" si="43"/>
        <v>-</v>
      </c>
      <c r="AC38" s="524" t="str">
        <f t="shared" ca="1" si="44"/>
        <v>-</v>
      </c>
      <c r="AD38" s="525" t="str">
        <f t="shared" ca="1" si="45"/>
        <v>-</v>
      </c>
      <c r="AE38" s="525" t="str">
        <f t="shared" ca="1" si="46"/>
        <v>-</v>
      </c>
      <c r="AF38" s="525" t="str">
        <f t="shared" ca="1" si="47"/>
        <v>-</v>
      </c>
      <c r="AG38" s="525" t="str">
        <f t="shared" ca="1" si="48"/>
        <v>-</v>
      </c>
      <c r="AH38" s="524" t="str">
        <f t="shared" ca="1" si="49"/>
        <v>-</v>
      </c>
      <c r="AI38" s="525" t="str">
        <f t="shared" ca="1" si="50"/>
        <v>-</v>
      </c>
      <c r="AJ38" s="525" t="str">
        <f t="shared" ca="1" si="51"/>
        <v>-</v>
      </c>
      <c r="AK38" s="525" t="str">
        <f t="shared" ca="1" si="52"/>
        <v>-</v>
      </c>
      <c r="AL38" s="525" t="str">
        <f t="shared" ca="1" si="53"/>
        <v>-</v>
      </c>
    </row>
    <row r="39" spans="1:38" s="35" customFormat="1" x14ac:dyDescent="0.25">
      <c r="B39" s="1176">
        <v>4</v>
      </c>
      <c r="C39" s="1177"/>
      <c r="D39" s="524" t="str">
        <f t="shared" ca="1" si="19"/>
        <v>-</v>
      </c>
      <c r="E39" s="525" t="str">
        <f t="shared" ca="1" si="20"/>
        <v>-</v>
      </c>
      <c r="F39" s="525" t="str">
        <f t="shared" ca="1" si="21"/>
        <v>-</v>
      </c>
      <c r="G39" s="525" t="str">
        <f t="shared" ca="1" si="22"/>
        <v>-</v>
      </c>
      <c r="H39" s="525" t="str">
        <f t="shared" ca="1" si="23"/>
        <v>-</v>
      </c>
      <c r="I39" s="524" t="str">
        <f t="shared" ca="1" si="24"/>
        <v>-</v>
      </c>
      <c r="J39" s="525" t="str">
        <f t="shared" ca="1" si="25"/>
        <v>-</v>
      </c>
      <c r="K39" s="525" t="str">
        <f t="shared" ca="1" si="26"/>
        <v>-</v>
      </c>
      <c r="L39" s="525" t="str">
        <f t="shared" ca="1" si="27"/>
        <v>-</v>
      </c>
      <c r="M39" s="525" t="str">
        <f t="shared" ca="1" si="28"/>
        <v>-</v>
      </c>
      <c r="N39" s="524" t="str">
        <f t="shared" ca="1" si="29"/>
        <v>-</v>
      </c>
      <c r="O39" s="525" t="str">
        <f t="shared" ca="1" si="30"/>
        <v>-</v>
      </c>
      <c r="P39" s="525" t="str">
        <f t="shared" ca="1" si="31"/>
        <v>-</v>
      </c>
      <c r="Q39" s="525" t="str">
        <f t="shared" ca="1" si="32"/>
        <v>-</v>
      </c>
      <c r="R39" s="525" t="str">
        <f t="shared" ca="1" si="33"/>
        <v>-</v>
      </c>
      <c r="S39" s="524" t="str">
        <f t="shared" ca="1" si="34"/>
        <v>-</v>
      </c>
      <c r="T39" s="525" t="str">
        <f t="shared" ca="1" si="35"/>
        <v>-</v>
      </c>
      <c r="U39" s="525" t="str">
        <f t="shared" ca="1" si="36"/>
        <v>-</v>
      </c>
      <c r="V39" s="525" t="str">
        <f t="shared" ca="1" si="37"/>
        <v>-</v>
      </c>
      <c r="W39" s="525" t="str">
        <f t="shared" ca="1" si="38"/>
        <v>-</v>
      </c>
      <c r="X39" s="524" t="str">
        <f t="shared" ca="1" si="39"/>
        <v>-</v>
      </c>
      <c r="Y39" s="525" t="str">
        <f t="shared" ca="1" si="40"/>
        <v>-</v>
      </c>
      <c r="Z39" s="525" t="str">
        <f t="shared" ca="1" si="41"/>
        <v>-</v>
      </c>
      <c r="AA39" s="525" t="str">
        <f t="shared" ca="1" si="42"/>
        <v>-</v>
      </c>
      <c r="AB39" s="525" t="str">
        <f t="shared" ca="1" si="43"/>
        <v>-</v>
      </c>
      <c r="AC39" s="524" t="str">
        <f t="shared" ca="1" si="44"/>
        <v>-</v>
      </c>
      <c r="AD39" s="525" t="str">
        <f t="shared" ca="1" si="45"/>
        <v>-</v>
      </c>
      <c r="AE39" s="525" t="str">
        <f t="shared" ca="1" si="46"/>
        <v>-</v>
      </c>
      <c r="AF39" s="525" t="str">
        <f t="shared" ca="1" si="47"/>
        <v>-</v>
      </c>
      <c r="AG39" s="525" t="str">
        <f t="shared" ca="1" si="48"/>
        <v>-</v>
      </c>
      <c r="AH39" s="524" t="str">
        <f t="shared" ca="1" si="49"/>
        <v>-</v>
      </c>
      <c r="AI39" s="525" t="str">
        <f t="shared" ca="1" si="50"/>
        <v>-</v>
      </c>
      <c r="AJ39" s="525" t="str">
        <f t="shared" ca="1" si="51"/>
        <v>-</v>
      </c>
      <c r="AK39" s="525" t="str">
        <f t="shared" ca="1" si="52"/>
        <v>-</v>
      </c>
      <c r="AL39" s="525" t="str">
        <f t="shared" ca="1" si="53"/>
        <v>-</v>
      </c>
    </row>
    <row r="40" spans="1:38" s="35" customFormat="1" x14ac:dyDescent="0.25">
      <c r="B40" s="1176">
        <v>5</v>
      </c>
      <c r="C40" s="1177"/>
      <c r="D40" s="524" t="str">
        <f t="shared" ca="1" si="19"/>
        <v>-</v>
      </c>
      <c r="E40" s="525" t="str">
        <f t="shared" ca="1" si="20"/>
        <v>-</v>
      </c>
      <c r="F40" s="525" t="str">
        <f t="shared" ca="1" si="21"/>
        <v>-</v>
      </c>
      <c r="G40" s="525" t="str">
        <f t="shared" ca="1" si="22"/>
        <v>-</v>
      </c>
      <c r="H40" s="525" t="str">
        <f t="shared" ca="1" si="23"/>
        <v>-</v>
      </c>
      <c r="I40" s="524" t="str">
        <f t="shared" ca="1" si="24"/>
        <v>-</v>
      </c>
      <c r="J40" s="525" t="str">
        <f t="shared" ca="1" si="25"/>
        <v>-</v>
      </c>
      <c r="K40" s="525" t="str">
        <f t="shared" ca="1" si="26"/>
        <v>-</v>
      </c>
      <c r="L40" s="525" t="str">
        <f t="shared" ca="1" si="27"/>
        <v>-</v>
      </c>
      <c r="M40" s="525" t="str">
        <f t="shared" ca="1" si="28"/>
        <v>-</v>
      </c>
      <c r="N40" s="524" t="str">
        <f t="shared" ca="1" si="29"/>
        <v>-</v>
      </c>
      <c r="O40" s="525" t="str">
        <f t="shared" ca="1" si="30"/>
        <v>-</v>
      </c>
      <c r="P40" s="525" t="str">
        <f t="shared" ca="1" si="31"/>
        <v>-</v>
      </c>
      <c r="Q40" s="525" t="str">
        <f t="shared" ca="1" si="32"/>
        <v>-</v>
      </c>
      <c r="R40" s="525" t="str">
        <f t="shared" ca="1" si="33"/>
        <v>-</v>
      </c>
      <c r="S40" s="524" t="str">
        <f t="shared" ca="1" si="34"/>
        <v>-</v>
      </c>
      <c r="T40" s="525" t="str">
        <f t="shared" ca="1" si="35"/>
        <v>-</v>
      </c>
      <c r="U40" s="525" t="str">
        <f t="shared" ca="1" si="36"/>
        <v>-</v>
      </c>
      <c r="V40" s="525" t="str">
        <f t="shared" ca="1" si="37"/>
        <v>-</v>
      </c>
      <c r="W40" s="525" t="str">
        <f t="shared" ca="1" si="38"/>
        <v>-</v>
      </c>
      <c r="X40" s="524" t="str">
        <f t="shared" ca="1" si="39"/>
        <v>-</v>
      </c>
      <c r="Y40" s="525" t="str">
        <f t="shared" ca="1" si="40"/>
        <v>-</v>
      </c>
      <c r="Z40" s="525" t="str">
        <f t="shared" ca="1" si="41"/>
        <v>-</v>
      </c>
      <c r="AA40" s="525" t="str">
        <f t="shared" ca="1" si="42"/>
        <v>-</v>
      </c>
      <c r="AB40" s="525" t="str">
        <f t="shared" ca="1" si="43"/>
        <v>-</v>
      </c>
      <c r="AC40" s="524" t="str">
        <f t="shared" ca="1" si="44"/>
        <v>-</v>
      </c>
      <c r="AD40" s="525" t="str">
        <f t="shared" ca="1" si="45"/>
        <v>-</v>
      </c>
      <c r="AE40" s="525" t="str">
        <f t="shared" ca="1" si="46"/>
        <v>-</v>
      </c>
      <c r="AF40" s="525" t="str">
        <f t="shared" ca="1" si="47"/>
        <v>-</v>
      </c>
      <c r="AG40" s="525" t="str">
        <f t="shared" ca="1" si="48"/>
        <v>-</v>
      </c>
      <c r="AH40" s="524" t="str">
        <f t="shared" ca="1" si="49"/>
        <v>-</v>
      </c>
      <c r="AI40" s="525" t="str">
        <f t="shared" ca="1" si="50"/>
        <v>-</v>
      </c>
      <c r="AJ40" s="525" t="str">
        <f t="shared" ca="1" si="51"/>
        <v>-</v>
      </c>
      <c r="AK40" s="525" t="str">
        <f t="shared" ca="1" si="52"/>
        <v>-</v>
      </c>
      <c r="AL40" s="525" t="str">
        <f t="shared" ca="1" si="53"/>
        <v>-</v>
      </c>
    </row>
    <row r="41" spans="1:38" s="35" customFormat="1" x14ac:dyDescent="0.25">
      <c r="B41" s="1176">
        <v>6</v>
      </c>
      <c r="C41" s="1177"/>
      <c r="D41" s="524" t="str">
        <f t="shared" ca="1" si="19"/>
        <v>-</v>
      </c>
      <c r="E41" s="525" t="str">
        <f t="shared" ca="1" si="20"/>
        <v>-</v>
      </c>
      <c r="F41" s="525" t="str">
        <f t="shared" ca="1" si="21"/>
        <v>-</v>
      </c>
      <c r="G41" s="525" t="str">
        <f t="shared" ca="1" si="22"/>
        <v>-</v>
      </c>
      <c r="H41" s="525" t="str">
        <f t="shared" ca="1" si="23"/>
        <v>-</v>
      </c>
      <c r="I41" s="524" t="str">
        <f t="shared" ca="1" si="24"/>
        <v>-</v>
      </c>
      <c r="J41" s="525" t="str">
        <f t="shared" ca="1" si="25"/>
        <v>-</v>
      </c>
      <c r="K41" s="525" t="str">
        <f t="shared" ca="1" si="26"/>
        <v>-</v>
      </c>
      <c r="L41" s="525" t="str">
        <f t="shared" ca="1" si="27"/>
        <v>-</v>
      </c>
      <c r="M41" s="525" t="str">
        <f t="shared" ca="1" si="28"/>
        <v>-</v>
      </c>
      <c r="N41" s="524" t="str">
        <f t="shared" ca="1" si="29"/>
        <v>-</v>
      </c>
      <c r="O41" s="525" t="str">
        <f t="shared" ca="1" si="30"/>
        <v>-</v>
      </c>
      <c r="P41" s="525" t="str">
        <f t="shared" ca="1" si="31"/>
        <v>-</v>
      </c>
      <c r="Q41" s="525" t="str">
        <f t="shared" ca="1" si="32"/>
        <v>-</v>
      </c>
      <c r="R41" s="525" t="str">
        <f t="shared" ca="1" si="33"/>
        <v>-</v>
      </c>
      <c r="S41" s="524" t="str">
        <f t="shared" ca="1" si="34"/>
        <v>-</v>
      </c>
      <c r="T41" s="525" t="str">
        <f t="shared" ca="1" si="35"/>
        <v>-</v>
      </c>
      <c r="U41" s="525" t="str">
        <f t="shared" ca="1" si="36"/>
        <v>-</v>
      </c>
      <c r="V41" s="525" t="str">
        <f t="shared" ca="1" si="37"/>
        <v>-</v>
      </c>
      <c r="W41" s="525" t="str">
        <f t="shared" ca="1" si="38"/>
        <v>-</v>
      </c>
      <c r="X41" s="524" t="str">
        <f t="shared" ca="1" si="39"/>
        <v>-</v>
      </c>
      <c r="Y41" s="525" t="str">
        <f t="shared" ca="1" si="40"/>
        <v>-</v>
      </c>
      <c r="Z41" s="525" t="str">
        <f t="shared" ca="1" si="41"/>
        <v>-</v>
      </c>
      <c r="AA41" s="525" t="str">
        <f t="shared" ca="1" si="42"/>
        <v>-</v>
      </c>
      <c r="AB41" s="525" t="str">
        <f t="shared" ca="1" si="43"/>
        <v>-</v>
      </c>
      <c r="AC41" s="524" t="str">
        <f t="shared" ca="1" si="44"/>
        <v>-</v>
      </c>
      <c r="AD41" s="525" t="str">
        <f t="shared" ca="1" si="45"/>
        <v>-</v>
      </c>
      <c r="AE41" s="525" t="str">
        <f t="shared" ca="1" si="46"/>
        <v>-</v>
      </c>
      <c r="AF41" s="525" t="str">
        <f t="shared" ca="1" si="47"/>
        <v>-</v>
      </c>
      <c r="AG41" s="525" t="str">
        <f t="shared" ca="1" si="48"/>
        <v>-</v>
      </c>
      <c r="AH41" s="524" t="str">
        <f t="shared" ca="1" si="49"/>
        <v>-</v>
      </c>
      <c r="AI41" s="525" t="str">
        <f t="shared" ca="1" si="50"/>
        <v>-</v>
      </c>
      <c r="AJ41" s="525" t="str">
        <f t="shared" ca="1" si="51"/>
        <v>-</v>
      </c>
      <c r="AK41" s="525" t="str">
        <f t="shared" ca="1" si="52"/>
        <v>-</v>
      </c>
      <c r="AL41" s="525" t="str">
        <f t="shared" ca="1" si="53"/>
        <v>-</v>
      </c>
    </row>
    <row r="42" spans="1:38" s="35" customFormat="1" x14ac:dyDescent="0.25">
      <c r="B42" s="1176">
        <v>7</v>
      </c>
      <c r="C42" s="1177"/>
      <c r="D42" s="524" t="str">
        <f t="shared" ca="1" si="19"/>
        <v>-</v>
      </c>
      <c r="E42" s="525" t="str">
        <f t="shared" ca="1" si="20"/>
        <v>-</v>
      </c>
      <c r="F42" s="525" t="str">
        <f t="shared" ca="1" si="21"/>
        <v>-</v>
      </c>
      <c r="G42" s="525" t="str">
        <f t="shared" ca="1" si="22"/>
        <v>-</v>
      </c>
      <c r="H42" s="525" t="str">
        <f t="shared" ca="1" si="23"/>
        <v>-</v>
      </c>
      <c r="I42" s="524" t="str">
        <f t="shared" ca="1" si="24"/>
        <v>-</v>
      </c>
      <c r="J42" s="525" t="str">
        <f t="shared" ca="1" si="25"/>
        <v>-</v>
      </c>
      <c r="K42" s="525" t="str">
        <f t="shared" ca="1" si="26"/>
        <v>-</v>
      </c>
      <c r="L42" s="525" t="str">
        <f t="shared" ca="1" si="27"/>
        <v>-</v>
      </c>
      <c r="M42" s="525" t="str">
        <f t="shared" ca="1" si="28"/>
        <v>-</v>
      </c>
      <c r="N42" s="524" t="str">
        <f t="shared" ca="1" si="29"/>
        <v>-</v>
      </c>
      <c r="O42" s="525" t="str">
        <f t="shared" ca="1" si="30"/>
        <v>-</v>
      </c>
      <c r="P42" s="525" t="str">
        <f t="shared" ca="1" si="31"/>
        <v>-</v>
      </c>
      <c r="Q42" s="525" t="str">
        <f t="shared" ca="1" si="32"/>
        <v>-</v>
      </c>
      <c r="R42" s="525" t="str">
        <f t="shared" ca="1" si="33"/>
        <v>-</v>
      </c>
      <c r="S42" s="524" t="str">
        <f t="shared" ca="1" si="34"/>
        <v>-</v>
      </c>
      <c r="T42" s="525" t="str">
        <f t="shared" ca="1" si="35"/>
        <v>-</v>
      </c>
      <c r="U42" s="525" t="str">
        <f t="shared" ca="1" si="36"/>
        <v>-</v>
      </c>
      <c r="V42" s="525" t="str">
        <f t="shared" ca="1" si="37"/>
        <v>-</v>
      </c>
      <c r="W42" s="525" t="str">
        <f t="shared" ca="1" si="38"/>
        <v>-</v>
      </c>
      <c r="X42" s="524" t="str">
        <f t="shared" ca="1" si="39"/>
        <v>-</v>
      </c>
      <c r="Y42" s="525" t="str">
        <f t="shared" ca="1" si="40"/>
        <v>-</v>
      </c>
      <c r="Z42" s="525" t="str">
        <f t="shared" ca="1" si="41"/>
        <v>-</v>
      </c>
      <c r="AA42" s="525" t="str">
        <f t="shared" ca="1" si="42"/>
        <v>-</v>
      </c>
      <c r="AB42" s="525" t="str">
        <f t="shared" ca="1" si="43"/>
        <v>-</v>
      </c>
      <c r="AC42" s="524" t="str">
        <f t="shared" ca="1" si="44"/>
        <v>-</v>
      </c>
      <c r="AD42" s="525" t="str">
        <f t="shared" ca="1" si="45"/>
        <v>-</v>
      </c>
      <c r="AE42" s="525" t="str">
        <f t="shared" ca="1" si="46"/>
        <v>-</v>
      </c>
      <c r="AF42" s="525" t="str">
        <f t="shared" ca="1" si="47"/>
        <v>-</v>
      </c>
      <c r="AG42" s="525" t="str">
        <f t="shared" ca="1" si="48"/>
        <v>-</v>
      </c>
      <c r="AH42" s="524" t="str">
        <f t="shared" ca="1" si="49"/>
        <v>-</v>
      </c>
      <c r="AI42" s="525" t="str">
        <f t="shared" ca="1" si="50"/>
        <v>-</v>
      </c>
      <c r="AJ42" s="525" t="str">
        <f t="shared" ca="1" si="51"/>
        <v>-</v>
      </c>
      <c r="AK42" s="525" t="str">
        <f t="shared" ca="1" si="52"/>
        <v>-</v>
      </c>
      <c r="AL42" s="525" t="str">
        <f t="shared" ca="1" si="53"/>
        <v>-</v>
      </c>
    </row>
    <row r="43" spans="1:38" s="35" customFormat="1" x14ac:dyDescent="0.25">
      <c r="B43" s="1176">
        <v>8</v>
      </c>
      <c r="C43" s="1177"/>
      <c r="D43" s="524" t="str">
        <f t="shared" ca="1" si="19"/>
        <v>-</v>
      </c>
      <c r="E43" s="525" t="str">
        <f t="shared" ca="1" si="20"/>
        <v>-</v>
      </c>
      <c r="F43" s="525" t="str">
        <f t="shared" ca="1" si="21"/>
        <v>-</v>
      </c>
      <c r="G43" s="525" t="str">
        <f t="shared" ca="1" si="22"/>
        <v>-</v>
      </c>
      <c r="H43" s="525" t="str">
        <f t="shared" ca="1" si="23"/>
        <v>-</v>
      </c>
      <c r="I43" s="524" t="str">
        <f t="shared" ca="1" si="24"/>
        <v>-</v>
      </c>
      <c r="J43" s="525" t="str">
        <f t="shared" ca="1" si="25"/>
        <v>-</v>
      </c>
      <c r="K43" s="525" t="str">
        <f t="shared" ca="1" si="26"/>
        <v>-</v>
      </c>
      <c r="L43" s="525" t="str">
        <f t="shared" ca="1" si="27"/>
        <v>-</v>
      </c>
      <c r="M43" s="525" t="str">
        <f t="shared" ca="1" si="28"/>
        <v>-</v>
      </c>
      <c r="N43" s="524" t="str">
        <f t="shared" ca="1" si="29"/>
        <v>-</v>
      </c>
      <c r="O43" s="525" t="str">
        <f t="shared" ca="1" si="30"/>
        <v>-</v>
      </c>
      <c r="P43" s="525" t="str">
        <f t="shared" ca="1" si="31"/>
        <v>-</v>
      </c>
      <c r="Q43" s="525" t="str">
        <f t="shared" ca="1" si="32"/>
        <v>-</v>
      </c>
      <c r="R43" s="525" t="str">
        <f t="shared" ca="1" si="33"/>
        <v>-</v>
      </c>
      <c r="S43" s="524" t="str">
        <f t="shared" ca="1" si="34"/>
        <v>-</v>
      </c>
      <c r="T43" s="525" t="str">
        <f t="shared" ca="1" si="35"/>
        <v>-</v>
      </c>
      <c r="U43" s="525" t="str">
        <f t="shared" ca="1" si="36"/>
        <v>-</v>
      </c>
      <c r="V43" s="525" t="str">
        <f t="shared" ca="1" si="37"/>
        <v>-</v>
      </c>
      <c r="W43" s="525" t="str">
        <f t="shared" ca="1" si="38"/>
        <v>-</v>
      </c>
      <c r="X43" s="524" t="str">
        <f t="shared" ca="1" si="39"/>
        <v>-</v>
      </c>
      <c r="Y43" s="525" t="str">
        <f t="shared" ca="1" si="40"/>
        <v>-</v>
      </c>
      <c r="Z43" s="525" t="str">
        <f t="shared" ca="1" si="41"/>
        <v>-</v>
      </c>
      <c r="AA43" s="525" t="str">
        <f t="shared" ca="1" si="42"/>
        <v>-</v>
      </c>
      <c r="AB43" s="525" t="str">
        <f t="shared" ca="1" si="43"/>
        <v>-</v>
      </c>
      <c r="AC43" s="524" t="str">
        <f t="shared" ca="1" si="44"/>
        <v>-</v>
      </c>
      <c r="AD43" s="525" t="str">
        <f t="shared" ca="1" si="45"/>
        <v>-</v>
      </c>
      <c r="AE43" s="525" t="str">
        <f t="shared" ca="1" si="46"/>
        <v>-</v>
      </c>
      <c r="AF43" s="525" t="str">
        <f t="shared" ca="1" si="47"/>
        <v>-</v>
      </c>
      <c r="AG43" s="525" t="str">
        <f t="shared" ca="1" si="48"/>
        <v>-</v>
      </c>
      <c r="AH43" s="524" t="str">
        <f t="shared" ca="1" si="49"/>
        <v>-</v>
      </c>
      <c r="AI43" s="525" t="str">
        <f t="shared" ca="1" si="50"/>
        <v>-</v>
      </c>
      <c r="AJ43" s="525" t="str">
        <f t="shared" ca="1" si="51"/>
        <v>-</v>
      </c>
      <c r="AK43" s="525" t="str">
        <f t="shared" ca="1" si="52"/>
        <v>-</v>
      </c>
      <c r="AL43" s="525" t="str">
        <f t="shared" ca="1" si="53"/>
        <v>-</v>
      </c>
    </row>
    <row r="44" spans="1:38" s="35" customFormat="1" x14ac:dyDescent="0.25">
      <c r="B44" s="1176">
        <v>9</v>
      </c>
      <c r="C44" s="1177"/>
      <c r="D44" s="524" t="str">
        <f t="shared" ca="1" si="19"/>
        <v>-</v>
      </c>
      <c r="E44" s="525" t="str">
        <f t="shared" ca="1" si="20"/>
        <v>-</v>
      </c>
      <c r="F44" s="525" t="str">
        <f t="shared" ca="1" si="21"/>
        <v>-</v>
      </c>
      <c r="G44" s="525" t="str">
        <f t="shared" ca="1" si="22"/>
        <v>-</v>
      </c>
      <c r="H44" s="525" t="str">
        <f t="shared" ca="1" si="23"/>
        <v>-</v>
      </c>
      <c r="I44" s="524" t="str">
        <f t="shared" ca="1" si="24"/>
        <v>-</v>
      </c>
      <c r="J44" s="525" t="str">
        <f t="shared" ca="1" si="25"/>
        <v>-</v>
      </c>
      <c r="K44" s="525" t="str">
        <f t="shared" ca="1" si="26"/>
        <v>-</v>
      </c>
      <c r="L44" s="525" t="str">
        <f t="shared" ca="1" si="27"/>
        <v>-</v>
      </c>
      <c r="M44" s="525" t="str">
        <f t="shared" ca="1" si="28"/>
        <v>-</v>
      </c>
      <c r="N44" s="524" t="str">
        <f t="shared" ca="1" si="29"/>
        <v>-</v>
      </c>
      <c r="O44" s="525" t="str">
        <f t="shared" ca="1" si="30"/>
        <v>-</v>
      </c>
      <c r="P44" s="525" t="str">
        <f t="shared" ca="1" si="31"/>
        <v>-</v>
      </c>
      <c r="Q44" s="525" t="str">
        <f t="shared" ca="1" si="32"/>
        <v>-</v>
      </c>
      <c r="R44" s="525" t="str">
        <f t="shared" ca="1" si="33"/>
        <v>-</v>
      </c>
      <c r="S44" s="524" t="str">
        <f t="shared" ca="1" si="34"/>
        <v>-</v>
      </c>
      <c r="T44" s="525" t="str">
        <f t="shared" ca="1" si="35"/>
        <v>-</v>
      </c>
      <c r="U44" s="525" t="str">
        <f t="shared" ca="1" si="36"/>
        <v>-</v>
      </c>
      <c r="V44" s="525" t="str">
        <f t="shared" ca="1" si="37"/>
        <v>-</v>
      </c>
      <c r="W44" s="525" t="str">
        <f t="shared" ca="1" si="38"/>
        <v>-</v>
      </c>
      <c r="X44" s="524" t="str">
        <f t="shared" ca="1" si="39"/>
        <v>-</v>
      </c>
      <c r="Y44" s="525" t="str">
        <f t="shared" ca="1" si="40"/>
        <v>-</v>
      </c>
      <c r="Z44" s="525" t="str">
        <f t="shared" ca="1" si="41"/>
        <v>-</v>
      </c>
      <c r="AA44" s="525" t="str">
        <f t="shared" ca="1" si="42"/>
        <v>-</v>
      </c>
      <c r="AB44" s="525" t="str">
        <f t="shared" ca="1" si="43"/>
        <v>-</v>
      </c>
      <c r="AC44" s="524" t="str">
        <f t="shared" ca="1" si="44"/>
        <v>-</v>
      </c>
      <c r="AD44" s="525" t="str">
        <f t="shared" ca="1" si="45"/>
        <v>-</v>
      </c>
      <c r="AE44" s="525" t="str">
        <f t="shared" ca="1" si="46"/>
        <v>-</v>
      </c>
      <c r="AF44" s="525" t="str">
        <f t="shared" ca="1" si="47"/>
        <v>-</v>
      </c>
      <c r="AG44" s="525" t="str">
        <f t="shared" ca="1" si="48"/>
        <v>-</v>
      </c>
      <c r="AH44" s="524" t="str">
        <f t="shared" ca="1" si="49"/>
        <v>-</v>
      </c>
      <c r="AI44" s="525" t="str">
        <f t="shared" ca="1" si="50"/>
        <v>-</v>
      </c>
      <c r="AJ44" s="525" t="str">
        <f t="shared" ca="1" si="51"/>
        <v>-</v>
      </c>
      <c r="AK44" s="525" t="str">
        <f t="shared" ca="1" si="52"/>
        <v>-</v>
      </c>
      <c r="AL44" s="525" t="str">
        <f t="shared" ca="1" si="53"/>
        <v>-</v>
      </c>
    </row>
    <row r="45" spans="1:38" s="35" customFormat="1" x14ac:dyDescent="0.25">
      <c r="B45" s="1176">
        <v>10</v>
      </c>
      <c r="C45" s="1177"/>
      <c r="D45" s="524" t="str">
        <f t="shared" ca="1" si="19"/>
        <v>-</v>
      </c>
      <c r="E45" s="525" t="str">
        <f t="shared" ca="1" si="20"/>
        <v>-</v>
      </c>
      <c r="F45" s="525" t="str">
        <f t="shared" ca="1" si="21"/>
        <v>-</v>
      </c>
      <c r="G45" s="525" t="str">
        <f t="shared" ca="1" si="22"/>
        <v>-</v>
      </c>
      <c r="H45" s="525" t="str">
        <f t="shared" ca="1" si="23"/>
        <v>-</v>
      </c>
      <c r="I45" s="524" t="str">
        <f t="shared" ca="1" si="24"/>
        <v>-</v>
      </c>
      <c r="J45" s="525" t="str">
        <f t="shared" ca="1" si="25"/>
        <v>-</v>
      </c>
      <c r="K45" s="525" t="str">
        <f t="shared" ca="1" si="26"/>
        <v>-</v>
      </c>
      <c r="L45" s="525" t="str">
        <f t="shared" ca="1" si="27"/>
        <v>-</v>
      </c>
      <c r="M45" s="525" t="str">
        <f t="shared" ca="1" si="28"/>
        <v>-</v>
      </c>
      <c r="N45" s="524" t="str">
        <f t="shared" ca="1" si="29"/>
        <v>-</v>
      </c>
      <c r="O45" s="525" t="str">
        <f t="shared" ca="1" si="30"/>
        <v>-</v>
      </c>
      <c r="P45" s="525" t="str">
        <f t="shared" ca="1" si="31"/>
        <v>-</v>
      </c>
      <c r="Q45" s="525" t="str">
        <f t="shared" ca="1" si="32"/>
        <v>-</v>
      </c>
      <c r="R45" s="525" t="str">
        <f t="shared" ca="1" si="33"/>
        <v>-</v>
      </c>
      <c r="S45" s="524" t="str">
        <f t="shared" ca="1" si="34"/>
        <v>-</v>
      </c>
      <c r="T45" s="525" t="str">
        <f t="shared" ca="1" si="35"/>
        <v>-</v>
      </c>
      <c r="U45" s="525" t="str">
        <f t="shared" ca="1" si="36"/>
        <v>-</v>
      </c>
      <c r="V45" s="525" t="str">
        <f t="shared" ca="1" si="37"/>
        <v>-</v>
      </c>
      <c r="W45" s="525" t="str">
        <f t="shared" ca="1" si="38"/>
        <v>-</v>
      </c>
      <c r="X45" s="524" t="str">
        <f t="shared" ca="1" si="39"/>
        <v>-</v>
      </c>
      <c r="Y45" s="525" t="str">
        <f t="shared" ca="1" si="40"/>
        <v>-</v>
      </c>
      <c r="Z45" s="525" t="str">
        <f t="shared" ca="1" si="41"/>
        <v>-</v>
      </c>
      <c r="AA45" s="525" t="str">
        <f t="shared" ca="1" si="42"/>
        <v>-</v>
      </c>
      <c r="AB45" s="525" t="str">
        <f t="shared" ca="1" si="43"/>
        <v>-</v>
      </c>
      <c r="AC45" s="524" t="str">
        <f t="shared" ca="1" si="44"/>
        <v>-</v>
      </c>
      <c r="AD45" s="525" t="str">
        <f t="shared" ca="1" si="45"/>
        <v>-</v>
      </c>
      <c r="AE45" s="525" t="str">
        <f t="shared" ca="1" si="46"/>
        <v>-</v>
      </c>
      <c r="AF45" s="525" t="str">
        <f t="shared" ca="1" si="47"/>
        <v>-</v>
      </c>
      <c r="AG45" s="525" t="str">
        <f t="shared" ca="1" si="48"/>
        <v>-</v>
      </c>
      <c r="AH45" s="524" t="str">
        <f t="shared" ca="1" si="49"/>
        <v>-</v>
      </c>
      <c r="AI45" s="525" t="str">
        <f t="shared" ca="1" si="50"/>
        <v>-</v>
      </c>
      <c r="AJ45" s="525" t="str">
        <f t="shared" ca="1" si="51"/>
        <v>-</v>
      </c>
      <c r="AK45" s="525" t="str">
        <f t="shared" ca="1" si="52"/>
        <v>-</v>
      </c>
      <c r="AL45" s="525" t="str">
        <f t="shared" ca="1" si="53"/>
        <v>-</v>
      </c>
    </row>
    <row r="46" spans="1:38" s="35" customFormat="1" x14ac:dyDescent="0.25">
      <c r="B46" s="1176">
        <v>11</v>
      </c>
      <c r="C46" s="1177"/>
      <c r="D46" s="524" t="str">
        <f t="shared" ca="1" si="19"/>
        <v>-</v>
      </c>
      <c r="E46" s="525" t="str">
        <f t="shared" ca="1" si="20"/>
        <v>-</v>
      </c>
      <c r="F46" s="525" t="str">
        <f t="shared" ca="1" si="21"/>
        <v>-</v>
      </c>
      <c r="G46" s="525" t="str">
        <f t="shared" ca="1" si="22"/>
        <v>-</v>
      </c>
      <c r="H46" s="525" t="str">
        <f t="shared" ca="1" si="23"/>
        <v>-</v>
      </c>
      <c r="I46" s="524" t="str">
        <f t="shared" ca="1" si="24"/>
        <v>-</v>
      </c>
      <c r="J46" s="525" t="str">
        <f t="shared" ca="1" si="25"/>
        <v>-</v>
      </c>
      <c r="K46" s="525" t="str">
        <f t="shared" ca="1" si="26"/>
        <v>-</v>
      </c>
      <c r="L46" s="525" t="str">
        <f t="shared" ca="1" si="27"/>
        <v>-</v>
      </c>
      <c r="M46" s="525" t="str">
        <f t="shared" ca="1" si="28"/>
        <v>-</v>
      </c>
      <c r="N46" s="524" t="str">
        <f t="shared" ca="1" si="29"/>
        <v>-</v>
      </c>
      <c r="O46" s="525" t="str">
        <f t="shared" ca="1" si="30"/>
        <v>-</v>
      </c>
      <c r="P46" s="525" t="str">
        <f t="shared" ca="1" si="31"/>
        <v>-</v>
      </c>
      <c r="Q46" s="525" t="str">
        <f t="shared" ca="1" si="32"/>
        <v>-</v>
      </c>
      <c r="R46" s="525" t="str">
        <f t="shared" ca="1" si="33"/>
        <v>-</v>
      </c>
      <c r="S46" s="524" t="str">
        <f t="shared" ca="1" si="34"/>
        <v>-</v>
      </c>
      <c r="T46" s="525" t="str">
        <f t="shared" ca="1" si="35"/>
        <v>-</v>
      </c>
      <c r="U46" s="525" t="str">
        <f t="shared" ca="1" si="36"/>
        <v>-</v>
      </c>
      <c r="V46" s="525" t="str">
        <f t="shared" ca="1" si="37"/>
        <v>-</v>
      </c>
      <c r="W46" s="525" t="str">
        <f t="shared" ca="1" si="38"/>
        <v>-</v>
      </c>
      <c r="X46" s="524" t="str">
        <f t="shared" ca="1" si="39"/>
        <v>-</v>
      </c>
      <c r="Y46" s="525" t="str">
        <f t="shared" ca="1" si="40"/>
        <v>-</v>
      </c>
      <c r="Z46" s="525" t="str">
        <f t="shared" ca="1" si="41"/>
        <v>-</v>
      </c>
      <c r="AA46" s="525" t="str">
        <f t="shared" ca="1" si="42"/>
        <v>-</v>
      </c>
      <c r="AB46" s="525" t="str">
        <f t="shared" ca="1" si="43"/>
        <v>-</v>
      </c>
      <c r="AC46" s="524" t="str">
        <f t="shared" ca="1" si="44"/>
        <v>-</v>
      </c>
      <c r="AD46" s="525" t="str">
        <f t="shared" ca="1" si="45"/>
        <v>-</v>
      </c>
      <c r="AE46" s="525" t="str">
        <f t="shared" ca="1" si="46"/>
        <v>-</v>
      </c>
      <c r="AF46" s="525" t="str">
        <f t="shared" ca="1" si="47"/>
        <v>-</v>
      </c>
      <c r="AG46" s="525" t="str">
        <f t="shared" ca="1" si="48"/>
        <v>-</v>
      </c>
      <c r="AH46" s="524" t="str">
        <f t="shared" ca="1" si="49"/>
        <v>-</v>
      </c>
      <c r="AI46" s="525" t="str">
        <f t="shared" ca="1" si="50"/>
        <v>-</v>
      </c>
      <c r="AJ46" s="525" t="str">
        <f t="shared" ca="1" si="51"/>
        <v>-</v>
      </c>
      <c r="AK46" s="525" t="str">
        <f t="shared" ca="1" si="52"/>
        <v>-</v>
      </c>
      <c r="AL46" s="525" t="str">
        <f t="shared" ca="1" si="53"/>
        <v>-</v>
      </c>
    </row>
    <row r="47" spans="1:38" s="35" customFormat="1" x14ac:dyDescent="0.25">
      <c r="B47" s="1176">
        <v>12</v>
      </c>
      <c r="C47" s="1177"/>
      <c r="D47" s="524" t="str">
        <f t="shared" ca="1" si="19"/>
        <v>-</v>
      </c>
      <c r="E47" s="525" t="str">
        <f t="shared" ca="1" si="20"/>
        <v>-</v>
      </c>
      <c r="F47" s="525" t="str">
        <f t="shared" ca="1" si="21"/>
        <v>-</v>
      </c>
      <c r="G47" s="525" t="str">
        <f t="shared" ca="1" si="22"/>
        <v>-</v>
      </c>
      <c r="H47" s="525" t="str">
        <f t="shared" ca="1" si="23"/>
        <v>-</v>
      </c>
      <c r="I47" s="524" t="str">
        <f t="shared" ca="1" si="24"/>
        <v>-</v>
      </c>
      <c r="J47" s="525" t="str">
        <f t="shared" ca="1" si="25"/>
        <v>-</v>
      </c>
      <c r="K47" s="525" t="str">
        <f t="shared" ca="1" si="26"/>
        <v>-</v>
      </c>
      <c r="L47" s="525" t="str">
        <f t="shared" ca="1" si="27"/>
        <v>-</v>
      </c>
      <c r="M47" s="525" t="str">
        <f t="shared" ca="1" si="28"/>
        <v>-</v>
      </c>
      <c r="N47" s="524" t="str">
        <f t="shared" ca="1" si="29"/>
        <v>-</v>
      </c>
      <c r="O47" s="525" t="str">
        <f t="shared" ca="1" si="30"/>
        <v>-</v>
      </c>
      <c r="P47" s="525" t="str">
        <f t="shared" ca="1" si="31"/>
        <v>-</v>
      </c>
      <c r="Q47" s="525" t="str">
        <f t="shared" ca="1" si="32"/>
        <v>-</v>
      </c>
      <c r="R47" s="525" t="str">
        <f t="shared" ca="1" si="33"/>
        <v>-</v>
      </c>
      <c r="S47" s="524" t="str">
        <f t="shared" ca="1" si="34"/>
        <v>-</v>
      </c>
      <c r="T47" s="525" t="str">
        <f t="shared" ca="1" si="35"/>
        <v>-</v>
      </c>
      <c r="U47" s="525" t="str">
        <f t="shared" ca="1" si="36"/>
        <v>-</v>
      </c>
      <c r="V47" s="525" t="str">
        <f t="shared" ca="1" si="37"/>
        <v>-</v>
      </c>
      <c r="W47" s="525" t="str">
        <f t="shared" ca="1" si="38"/>
        <v>-</v>
      </c>
      <c r="X47" s="524" t="str">
        <f t="shared" ca="1" si="39"/>
        <v>-</v>
      </c>
      <c r="Y47" s="525" t="str">
        <f t="shared" ca="1" si="40"/>
        <v>-</v>
      </c>
      <c r="Z47" s="525" t="str">
        <f t="shared" ca="1" si="41"/>
        <v>-</v>
      </c>
      <c r="AA47" s="525" t="str">
        <f t="shared" ca="1" si="42"/>
        <v>-</v>
      </c>
      <c r="AB47" s="525" t="str">
        <f t="shared" ca="1" si="43"/>
        <v>-</v>
      </c>
      <c r="AC47" s="524" t="str">
        <f t="shared" ca="1" si="44"/>
        <v>-</v>
      </c>
      <c r="AD47" s="525" t="str">
        <f t="shared" ca="1" si="45"/>
        <v>-</v>
      </c>
      <c r="AE47" s="525" t="str">
        <f t="shared" ca="1" si="46"/>
        <v>-</v>
      </c>
      <c r="AF47" s="525" t="str">
        <f t="shared" ca="1" si="47"/>
        <v>-</v>
      </c>
      <c r="AG47" s="525" t="str">
        <f t="shared" ca="1" si="48"/>
        <v>-</v>
      </c>
      <c r="AH47" s="524" t="str">
        <f t="shared" ca="1" si="49"/>
        <v>-</v>
      </c>
      <c r="AI47" s="525" t="str">
        <f t="shared" ca="1" si="50"/>
        <v>-</v>
      </c>
      <c r="AJ47" s="525" t="str">
        <f t="shared" ca="1" si="51"/>
        <v>-</v>
      </c>
      <c r="AK47" s="525" t="str">
        <f t="shared" ca="1" si="52"/>
        <v>-</v>
      </c>
      <c r="AL47" s="525" t="str">
        <f t="shared" ca="1" si="53"/>
        <v>-</v>
      </c>
    </row>
    <row r="48" spans="1:38" s="35" customFormat="1" x14ac:dyDescent="0.25">
      <c r="B48" s="1176">
        <v>13</v>
      </c>
      <c r="C48" s="1177"/>
      <c r="D48" s="524" t="str">
        <f t="shared" ca="1" si="19"/>
        <v>-</v>
      </c>
      <c r="E48" s="525" t="str">
        <f t="shared" ca="1" si="20"/>
        <v>-</v>
      </c>
      <c r="F48" s="525" t="str">
        <f t="shared" ca="1" si="21"/>
        <v>-</v>
      </c>
      <c r="G48" s="525" t="str">
        <f t="shared" ca="1" si="22"/>
        <v>-</v>
      </c>
      <c r="H48" s="525" t="str">
        <f t="shared" ca="1" si="23"/>
        <v>-</v>
      </c>
      <c r="I48" s="524" t="str">
        <f t="shared" ca="1" si="24"/>
        <v>-</v>
      </c>
      <c r="J48" s="525" t="str">
        <f t="shared" ca="1" si="25"/>
        <v>-</v>
      </c>
      <c r="K48" s="525" t="str">
        <f t="shared" ca="1" si="26"/>
        <v>-</v>
      </c>
      <c r="L48" s="525" t="str">
        <f t="shared" ca="1" si="27"/>
        <v>-</v>
      </c>
      <c r="M48" s="525" t="str">
        <f t="shared" ca="1" si="28"/>
        <v>-</v>
      </c>
      <c r="N48" s="524" t="str">
        <f t="shared" ca="1" si="29"/>
        <v>-</v>
      </c>
      <c r="O48" s="525" t="str">
        <f t="shared" ca="1" si="30"/>
        <v>-</v>
      </c>
      <c r="P48" s="525" t="str">
        <f t="shared" ca="1" si="31"/>
        <v>-</v>
      </c>
      <c r="Q48" s="525" t="str">
        <f t="shared" ca="1" si="32"/>
        <v>-</v>
      </c>
      <c r="R48" s="525" t="str">
        <f t="shared" ca="1" si="33"/>
        <v>-</v>
      </c>
      <c r="S48" s="524" t="str">
        <f t="shared" ca="1" si="34"/>
        <v>-</v>
      </c>
      <c r="T48" s="525" t="str">
        <f t="shared" ca="1" si="35"/>
        <v>-</v>
      </c>
      <c r="U48" s="525" t="str">
        <f t="shared" ca="1" si="36"/>
        <v>-</v>
      </c>
      <c r="V48" s="525" t="str">
        <f t="shared" ca="1" si="37"/>
        <v>-</v>
      </c>
      <c r="W48" s="525" t="str">
        <f t="shared" ca="1" si="38"/>
        <v>-</v>
      </c>
      <c r="X48" s="524" t="str">
        <f t="shared" ca="1" si="39"/>
        <v>-</v>
      </c>
      <c r="Y48" s="525" t="str">
        <f t="shared" ca="1" si="40"/>
        <v>-</v>
      </c>
      <c r="Z48" s="525" t="str">
        <f t="shared" ca="1" si="41"/>
        <v>-</v>
      </c>
      <c r="AA48" s="525" t="str">
        <f t="shared" ca="1" si="42"/>
        <v>-</v>
      </c>
      <c r="AB48" s="525" t="str">
        <f t="shared" ca="1" si="43"/>
        <v>-</v>
      </c>
      <c r="AC48" s="524" t="str">
        <f t="shared" ca="1" si="44"/>
        <v>-</v>
      </c>
      <c r="AD48" s="525" t="str">
        <f t="shared" ca="1" si="45"/>
        <v>-</v>
      </c>
      <c r="AE48" s="525" t="str">
        <f t="shared" ca="1" si="46"/>
        <v>-</v>
      </c>
      <c r="AF48" s="525" t="str">
        <f t="shared" ca="1" si="47"/>
        <v>-</v>
      </c>
      <c r="AG48" s="525" t="str">
        <f t="shared" ca="1" si="48"/>
        <v>-</v>
      </c>
      <c r="AH48" s="524" t="str">
        <f t="shared" ca="1" si="49"/>
        <v>-</v>
      </c>
      <c r="AI48" s="525" t="str">
        <f t="shared" ca="1" si="50"/>
        <v>-</v>
      </c>
      <c r="AJ48" s="525" t="str">
        <f t="shared" ca="1" si="51"/>
        <v>-</v>
      </c>
      <c r="AK48" s="525" t="str">
        <f t="shared" ca="1" si="52"/>
        <v>-</v>
      </c>
      <c r="AL48" s="525" t="str">
        <f t="shared" ca="1" si="53"/>
        <v>-</v>
      </c>
    </row>
    <row r="49" spans="2:38" s="35" customFormat="1" x14ac:dyDescent="0.25">
      <c r="B49" s="1176">
        <v>14</v>
      </c>
      <c r="C49" s="1177"/>
      <c r="D49" s="524" t="str">
        <f t="shared" ca="1" si="19"/>
        <v>-</v>
      </c>
      <c r="E49" s="525" t="str">
        <f t="shared" ca="1" si="20"/>
        <v>-</v>
      </c>
      <c r="F49" s="525" t="str">
        <f t="shared" ca="1" si="21"/>
        <v>-</v>
      </c>
      <c r="G49" s="525" t="str">
        <f t="shared" ca="1" si="22"/>
        <v>-</v>
      </c>
      <c r="H49" s="525" t="str">
        <f t="shared" ca="1" si="23"/>
        <v>-</v>
      </c>
      <c r="I49" s="524" t="str">
        <f t="shared" ca="1" si="24"/>
        <v>-</v>
      </c>
      <c r="J49" s="525" t="str">
        <f t="shared" ca="1" si="25"/>
        <v>-</v>
      </c>
      <c r="K49" s="525" t="str">
        <f t="shared" ca="1" si="26"/>
        <v>-</v>
      </c>
      <c r="L49" s="525" t="str">
        <f t="shared" ca="1" si="27"/>
        <v>-</v>
      </c>
      <c r="M49" s="525" t="str">
        <f t="shared" ca="1" si="28"/>
        <v>-</v>
      </c>
      <c r="N49" s="524" t="str">
        <f t="shared" ca="1" si="29"/>
        <v>-</v>
      </c>
      <c r="O49" s="525" t="str">
        <f t="shared" ca="1" si="30"/>
        <v>-</v>
      </c>
      <c r="P49" s="525" t="str">
        <f t="shared" ca="1" si="31"/>
        <v>-</v>
      </c>
      <c r="Q49" s="525" t="str">
        <f t="shared" ca="1" si="32"/>
        <v>-</v>
      </c>
      <c r="R49" s="525" t="str">
        <f t="shared" ca="1" si="33"/>
        <v>-</v>
      </c>
      <c r="S49" s="524" t="str">
        <f t="shared" ca="1" si="34"/>
        <v>-</v>
      </c>
      <c r="T49" s="525" t="str">
        <f t="shared" ca="1" si="35"/>
        <v>-</v>
      </c>
      <c r="U49" s="525" t="str">
        <f t="shared" ca="1" si="36"/>
        <v>-</v>
      </c>
      <c r="V49" s="525" t="str">
        <f t="shared" ca="1" si="37"/>
        <v>-</v>
      </c>
      <c r="W49" s="525" t="str">
        <f t="shared" ca="1" si="38"/>
        <v>-</v>
      </c>
      <c r="X49" s="524" t="str">
        <f t="shared" ca="1" si="39"/>
        <v>-</v>
      </c>
      <c r="Y49" s="525" t="str">
        <f t="shared" ca="1" si="40"/>
        <v>-</v>
      </c>
      <c r="Z49" s="525" t="str">
        <f t="shared" ca="1" si="41"/>
        <v>-</v>
      </c>
      <c r="AA49" s="525" t="str">
        <f t="shared" ca="1" si="42"/>
        <v>-</v>
      </c>
      <c r="AB49" s="525" t="str">
        <f t="shared" ca="1" si="43"/>
        <v>-</v>
      </c>
      <c r="AC49" s="524" t="str">
        <f t="shared" ca="1" si="44"/>
        <v>-</v>
      </c>
      <c r="AD49" s="525" t="str">
        <f t="shared" ca="1" si="45"/>
        <v>-</v>
      </c>
      <c r="AE49" s="525" t="str">
        <f t="shared" ca="1" si="46"/>
        <v>-</v>
      </c>
      <c r="AF49" s="525" t="str">
        <f t="shared" ca="1" si="47"/>
        <v>-</v>
      </c>
      <c r="AG49" s="525" t="str">
        <f t="shared" ca="1" si="48"/>
        <v>-</v>
      </c>
      <c r="AH49" s="524" t="str">
        <f t="shared" ca="1" si="49"/>
        <v>-</v>
      </c>
      <c r="AI49" s="525" t="str">
        <f t="shared" ca="1" si="50"/>
        <v>-</v>
      </c>
      <c r="AJ49" s="525" t="str">
        <f t="shared" ca="1" si="51"/>
        <v>-</v>
      </c>
      <c r="AK49" s="525" t="str">
        <f t="shared" ca="1" si="52"/>
        <v>-</v>
      </c>
      <c r="AL49" s="525" t="str">
        <f t="shared" ca="1" si="53"/>
        <v>-</v>
      </c>
    </row>
    <row r="50" spans="2:38" s="35" customFormat="1" x14ac:dyDescent="0.25">
      <c r="B50" s="1176">
        <v>15</v>
      </c>
      <c r="C50" s="1177"/>
      <c r="D50" s="524" t="str">
        <f t="shared" ca="1" si="19"/>
        <v>-</v>
      </c>
      <c r="E50" s="525" t="str">
        <f t="shared" ca="1" si="20"/>
        <v>-</v>
      </c>
      <c r="F50" s="525" t="str">
        <f t="shared" ca="1" si="21"/>
        <v>-</v>
      </c>
      <c r="G50" s="525" t="str">
        <f t="shared" ca="1" si="22"/>
        <v>-</v>
      </c>
      <c r="H50" s="525" t="str">
        <f t="shared" ca="1" si="23"/>
        <v>-</v>
      </c>
      <c r="I50" s="524" t="str">
        <f t="shared" ca="1" si="24"/>
        <v>-</v>
      </c>
      <c r="J50" s="525" t="str">
        <f t="shared" ca="1" si="25"/>
        <v>-</v>
      </c>
      <c r="K50" s="525" t="str">
        <f t="shared" ca="1" si="26"/>
        <v>-</v>
      </c>
      <c r="L50" s="525" t="str">
        <f t="shared" ca="1" si="27"/>
        <v>-</v>
      </c>
      <c r="M50" s="525" t="str">
        <f t="shared" ca="1" si="28"/>
        <v>-</v>
      </c>
      <c r="N50" s="524" t="str">
        <f t="shared" ca="1" si="29"/>
        <v>-</v>
      </c>
      <c r="O50" s="525" t="str">
        <f t="shared" ca="1" si="30"/>
        <v>-</v>
      </c>
      <c r="P50" s="525" t="str">
        <f t="shared" ca="1" si="31"/>
        <v>-</v>
      </c>
      <c r="Q50" s="525" t="str">
        <f t="shared" ca="1" si="32"/>
        <v>-</v>
      </c>
      <c r="R50" s="525" t="str">
        <f t="shared" ca="1" si="33"/>
        <v>-</v>
      </c>
      <c r="S50" s="524" t="str">
        <f t="shared" ca="1" si="34"/>
        <v>-</v>
      </c>
      <c r="T50" s="525" t="str">
        <f t="shared" ca="1" si="35"/>
        <v>-</v>
      </c>
      <c r="U50" s="525" t="str">
        <f t="shared" ca="1" si="36"/>
        <v>-</v>
      </c>
      <c r="V50" s="525" t="str">
        <f t="shared" ca="1" si="37"/>
        <v>-</v>
      </c>
      <c r="W50" s="525" t="str">
        <f t="shared" ca="1" si="38"/>
        <v>-</v>
      </c>
      <c r="X50" s="524" t="str">
        <f t="shared" ca="1" si="39"/>
        <v>-</v>
      </c>
      <c r="Y50" s="525" t="str">
        <f t="shared" ca="1" si="40"/>
        <v>-</v>
      </c>
      <c r="Z50" s="525" t="str">
        <f t="shared" ca="1" si="41"/>
        <v>-</v>
      </c>
      <c r="AA50" s="525" t="str">
        <f t="shared" ca="1" si="42"/>
        <v>-</v>
      </c>
      <c r="AB50" s="525" t="str">
        <f t="shared" ca="1" si="43"/>
        <v>-</v>
      </c>
      <c r="AC50" s="524" t="str">
        <f t="shared" ca="1" si="44"/>
        <v>-</v>
      </c>
      <c r="AD50" s="525" t="str">
        <f t="shared" ca="1" si="45"/>
        <v>-</v>
      </c>
      <c r="AE50" s="525" t="str">
        <f t="shared" ca="1" si="46"/>
        <v>-</v>
      </c>
      <c r="AF50" s="525" t="str">
        <f t="shared" ca="1" si="47"/>
        <v>-</v>
      </c>
      <c r="AG50" s="525" t="str">
        <f t="shared" ca="1" si="48"/>
        <v>-</v>
      </c>
      <c r="AH50" s="524" t="str">
        <f t="shared" ca="1" si="49"/>
        <v>-</v>
      </c>
      <c r="AI50" s="525" t="str">
        <f t="shared" ca="1" si="50"/>
        <v>-</v>
      </c>
      <c r="AJ50" s="525" t="str">
        <f t="shared" ca="1" si="51"/>
        <v>-</v>
      </c>
      <c r="AK50" s="525" t="str">
        <f t="shared" ca="1" si="52"/>
        <v>-</v>
      </c>
      <c r="AL50" s="525" t="str">
        <f t="shared" ca="1" si="53"/>
        <v>-</v>
      </c>
    </row>
    <row r="51" spans="2:38" s="35" customFormat="1" x14ac:dyDescent="0.25">
      <c r="B51" s="1176">
        <v>16</v>
      </c>
      <c r="C51" s="1177"/>
      <c r="D51" s="524" t="str">
        <f t="shared" ca="1" si="19"/>
        <v>-</v>
      </c>
      <c r="E51" s="525" t="str">
        <f t="shared" ca="1" si="20"/>
        <v>-</v>
      </c>
      <c r="F51" s="525" t="str">
        <f t="shared" ca="1" si="21"/>
        <v>-</v>
      </c>
      <c r="G51" s="525" t="str">
        <f t="shared" ca="1" si="22"/>
        <v>-</v>
      </c>
      <c r="H51" s="525" t="str">
        <f t="shared" ca="1" si="23"/>
        <v>-</v>
      </c>
      <c r="I51" s="524" t="str">
        <f t="shared" ca="1" si="24"/>
        <v>-</v>
      </c>
      <c r="J51" s="525" t="str">
        <f t="shared" ca="1" si="25"/>
        <v>-</v>
      </c>
      <c r="K51" s="525" t="str">
        <f t="shared" ca="1" si="26"/>
        <v>-</v>
      </c>
      <c r="L51" s="525" t="str">
        <f t="shared" ca="1" si="27"/>
        <v>-</v>
      </c>
      <c r="M51" s="525" t="str">
        <f t="shared" ca="1" si="28"/>
        <v>-</v>
      </c>
      <c r="N51" s="524" t="str">
        <f t="shared" ca="1" si="29"/>
        <v>-</v>
      </c>
      <c r="O51" s="525" t="str">
        <f t="shared" ca="1" si="30"/>
        <v>-</v>
      </c>
      <c r="P51" s="525" t="str">
        <f t="shared" ca="1" si="31"/>
        <v>-</v>
      </c>
      <c r="Q51" s="525" t="str">
        <f t="shared" ca="1" si="32"/>
        <v>-</v>
      </c>
      <c r="R51" s="525" t="str">
        <f t="shared" ca="1" si="33"/>
        <v>-</v>
      </c>
      <c r="S51" s="524" t="str">
        <f t="shared" ca="1" si="34"/>
        <v>-</v>
      </c>
      <c r="T51" s="525" t="str">
        <f t="shared" ca="1" si="35"/>
        <v>-</v>
      </c>
      <c r="U51" s="525" t="str">
        <f t="shared" ca="1" si="36"/>
        <v>-</v>
      </c>
      <c r="V51" s="525" t="str">
        <f t="shared" ca="1" si="37"/>
        <v>-</v>
      </c>
      <c r="W51" s="525" t="str">
        <f t="shared" ca="1" si="38"/>
        <v>-</v>
      </c>
      <c r="X51" s="524" t="str">
        <f t="shared" ca="1" si="39"/>
        <v>-</v>
      </c>
      <c r="Y51" s="525" t="str">
        <f t="shared" ca="1" si="40"/>
        <v>-</v>
      </c>
      <c r="Z51" s="525" t="str">
        <f t="shared" ca="1" si="41"/>
        <v>-</v>
      </c>
      <c r="AA51" s="525" t="str">
        <f t="shared" ca="1" si="42"/>
        <v>-</v>
      </c>
      <c r="AB51" s="525" t="str">
        <f t="shared" ca="1" si="43"/>
        <v>-</v>
      </c>
      <c r="AC51" s="524" t="str">
        <f t="shared" ca="1" si="44"/>
        <v>-</v>
      </c>
      <c r="AD51" s="525" t="str">
        <f t="shared" ca="1" si="45"/>
        <v>-</v>
      </c>
      <c r="AE51" s="525" t="str">
        <f t="shared" ca="1" si="46"/>
        <v>-</v>
      </c>
      <c r="AF51" s="525" t="str">
        <f t="shared" ca="1" si="47"/>
        <v>-</v>
      </c>
      <c r="AG51" s="525" t="str">
        <f t="shared" ca="1" si="48"/>
        <v>-</v>
      </c>
      <c r="AH51" s="524" t="str">
        <f t="shared" ca="1" si="49"/>
        <v>-</v>
      </c>
      <c r="AI51" s="525" t="str">
        <f t="shared" ca="1" si="50"/>
        <v>-</v>
      </c>
      <c r="AJ51" s="525" t="str">
        <f t="shared" ca="1" si="51"/>
        <v>-</v>
      </c>
      <c r="AK51" s="525" t="str">
        <f t="shared" ca="1" si="52"/>
        <v>-</v>
      </c>
      <c r="AL51" s="525" t="str">
        <f t="shared" ca="1" si="53"/>
        <v>-</v>
      </c>
    </row>
    <row r="52" spans="2:38" s="35" customFormat="1" x14ac:dyDescent="0.25">
      <c r="B52" s="1176">
        <v>17</v>
      </c>
      <c r="C52" s="1177"/>
      <c r="D52" s="524" t="str">
        <f t="shared" ca="1" si="19"/>
        <v>-</v>
      </c>
      <c r="E52" s="525" t="str">
        <f t="shared" ca="1" si="20"/>
        <v>-</v>
      </c>
      <c r="F52" s="525" t="str">
        <f t="shared" ca="1" si="21"/>
        <v>-</v>
      </c>
      <c r="G52" s="525" t="str">
        <f t="shared" ca="1" si="22"/>
        <v>-</v>
      </c>
      <c r="H52" s="525" t="str">
        <f t="shared" ca="1" si="23"/>
        <v>-</v>
      </c>
      <c r="I52" s="524" t="str">
        <f t="shared" ca="1" si="24"/>
        <v>-</v>
      </c>
      <c r="J52" s="525" t="str">
        <f t="shared" ca="1" si="25"/>
        <v>-</v>
      </c>
      <c r="K52" s="525" t="str">
        <f t="shared" ca="1" si="26"/>
        <v>-</v>
      </c>
      <c r="L52" s="525" t="str">
        <f t="shared" ca="1" si="27"/>
        <v>-</v>
      </c>
      <c r="M52" s="525" t="str">
        <f t="shared" ca="1" si="28"/>
        <v>-</v>
      </c>
      <c r="N52" s="524" t="str">
        <f t="shared" ca="1" si="29"/>
        <v>-</v>
      </c>
      <c r="O52" s="525" t="str">
        <f t="shared" ca="1" si="30"/>
        <v>-</v>
      </c>
      <c r="P52" s="525" t="str">
        <f t="shared" ca="1" si="31"/>
        <v>-</v>
      </c>
      <c r="Q52" s="525" t="str">
        <f t="shared" ca="1" si="32"/>
        <v>-</v>
      </c>
      <c r="R52" s="525" t="str">
        <f t="shared" ca="1" si="33"/>
        <v>-</v>
      </c>
      <c r="S52" s="524" t="str">
        <f t="shared" ca="1" si="34"/>
        <v>-</v>
      </c>
      <c r="T52" s="525" t="str">
        <f t="shared" ca="1" si="35"/>
        <v>-</v>
      </c>
      <c r="U52" s="525" t="str">
        <f t="shared" ca="1" si="36"/>
        <v>-</v>
      </c>
      <c r="V52" s="525" t="str">
        <f t="shared" ca="1" si="37"/>
        <v>-</v>
      </c>
      <c r="W52" s="525" t="str">
        <f t="shared" ca="1" si="38"/>
        <v>-</v>
      </c>
      <c r="X52" s="524" t="str">
        <f t="shared" ca="1" si="39"/>
        <v>-</v>
      </c>
      <c r="Y52" s="525" t="str">
        <f t="shared" ca="1" si="40"/>
        <v>-</v>
      </c>
      <c r="Z52" s="525" t="str">
        <f t="shared" ca="1" si="41"/>
        <v>-</v>
      </c>
      <c r="AA52" s="525" t="str">
        <f t="shared" ca="1" si="42"/>
        <v>-</v>
      </c>
      <c r="AB52" s="525" t="str">
        <f t="shared" ca="1" si="43"/>
        <v>-</v>
      </c>
      <c r="AC52" s="524" t="str">
        <f t="shared" ca="1" si="44"/>
        <v>-</v>
      </c>
      <c r="AD52" s="525" t="str">
        <f t="shared" ca="1" si="45"/>
        <v>-</v>
      </c>
      <c r="AE52" s="525" t="str">
        <f t="shared" ca="1" si="46"/>
        <v>-</v>
      </c>
      <c r="AF52" s="525" t="str">
        <f t="shared" ca="1" si="47"/>
        <v>-</v>
      </c>
      <c r="AG52" s="525" t="str">
        <f t="shared" ca="1" si="48"/>
        <v>-</v>
      </c>
      <c r="AH52" s="524" t="str">
        <f t="shared" ca="1" si="49"/>
        <v>-</v>
      </c>
      <c r="AI52" s="525" t="str">
        <f t="shared" ca="1" si="50"/>
        <v>-</v>
      </c>
      <c r="AJ52" s="525" t="str">
        <f t="shared" ca="1" si="51"/>
        <v>-</v>
      </c>
      <c r="AK52" s="525" t="str">
        <f t="shared" ca="1" si="52"/>
        <v>-</v>
      </c>
      <c r="AL52" s="525" t="str">
        <f t="shared" ca="1" si="53"/>
        <v>-</v>
      </c>
    </row>
    <row r="53" spans="2:38" s="35" customFormat="1" x14ac:dyDescent="0.25">
      <c r="B53" s="1176">
        <v>18</v>
      </c>
      <c r="C53" s="1177"/>
      <c r="D53" s="524" t="str">
        <f t="shared" ca="1" si="19"/>
        <v>-</v>
      </c>
      <c r="E53" s="525" t="str">
        <f t="shared" ca="1" si="20"/>
        <v>-</v>
      </c>
      <c r="F53" s="525" t="str">
        <f t="shared" ca="1" si="21"/>
        <v>-</v>
      </c>
      <c r="G53" s="525" t="str">
        <f t="shared" ca="1" si="22"/>
        <v>-</v>
      </c>
      <c r="H53" s="525" t="str">
        <f t="shared" ca="1" si="23"/>
        <v>-</v>
      </c>
      <c r="I53" s="524" t="str">
        <f t="shared" ca="1" si="24"/>
        <v>-</v>
      </c>
      <c r="J53" s="525" t="str">
        <f t="shared" ca="1" si="25"/>
        <v>-</v>
      </c>
      <c r="K53" s="525" t="str">
        <f t="shared" ca="1" si="26"/>
        <v>-</v>
      </c>
      <c r="L53" s="525" t="str">
        <f t="shared" ca="1" si="27"/>
        <v>-</v>
      </c>
      <c r="M53" s="525" t="str">
        <f t="shared" ca="1" si="28"/>
        <v>-</v>
      </c>
      <c r="N53" s="524" t="str">
        <f t="shared" ca="1" si="29"/>
        <v>-</v>
      </c>
      <c r="O53" s="525" t="str">
        <f t="shared" ca="1" si="30"/>
        <v>-</v>
      </c>
      <c r="P53" s="525" t="str">
        <f t="shared" ca="1" si="31"/>
        <v>-</v>
      </c>
      <c r="Q53" s="525" t="str">
        <f t="shared" ca="1" si="32"/>
        <v>-</v>
      </c>
      <c r="R53" s="525" t="str">
        <f t="shared" ca="1" si="33"/>
        <v>-</v>
      </c>
      <c r="S53" s="524" t="str">
        <f t="shared" ca="1" si="34"/>
        <v>-</v>
      </c>
      <c r="T53" s="525" t="str">
        <f t="shared" ca="1" si="35"/>
        <v>-</v>
      </c>
      <c r="U53" s="525" t="str">
        <f t="shared" ca="1" si="36"/>
        <v>-</v>
      </c>
      <c r="V53" s="525" t="str">
        <f t="shared" ca="1" si="37"/>
        <v>-</v>
      </c>
      <c r="W53" s="525" t="str">
        <f t="shared" ca="1" si="38"/>
        <v>-</v>
      </c>
      <c r="X53" s="524" t="str">
        <f t="shared" ca="1" si="39"/>
        <v>-</v>
      </c>
      <c r="Y53" s="525" t="str">
        <f t="shared" ca="1" si="40"/>
        <v>-</v>
      </c>
      <c r="Z53" s="525" t="str">
        <f t="shared" ca="1" si="41"/>
        <v>-</v>
      </c>
      <c r="AA53" s="525" t="str">
        <f t="shared" ca="1" si="42"/>
        <v>-</v>
      </c>
      <c r="AB53" s="525" t="str">
        <f t="shared" ca="1" si="43"/>
        <v>-</v>
      </c>
      <c r="AC53" s="524" t="str">
        <f t="shared" ca="1" si="44"/>
        <v>-</v>
      </c>
      <c r="AD53" s="525" t="str">
        <f t="shared" ca="1" si="45"/>
        <v>-</v>
      </c>
      <c r="AE53" s="525" t="str">
        <f t="shared" ca="1" si="46"/>
        <v>-</v>
      </c>
      <c r="AF53" s="525" t="str">
        <f t="shared" ca="1" si="47"/>
        <v>-</v>
      </c>
      <c r="AG53" s="525" t="str">
        <f t="shared" ca="1" si="48"/>
        <v>-</v>
      </c>
      <c r="AH53" s="524" t="str">
        <f t="shared" ca="1" si="49"/>
        <v>-</v>
      </c>
      <c r="AI53" s="525" t="str">
        <f t="shared" ca="1" si="50"/>
        <v>-</v>
      </c>
      <c r="AJ53" s="525" t="str">
        <f t="shared" ca="1" si="51"/>
        <v>-</v>
      </c>
      <c r="AK53" s="525" t="str">
        <f t="shared" ca="1" si="52"/>
        <v>-</v>
      </c>
      <c r="AL53" s="525" t="str">
        <f t="shared" ca="1" si="53"/>
        <v>-</v>
      </c>
    </row>
    <row r="54" spans="2:38" s="35" customFormat="1" x14ac:dyDescent="0.25">
      <c r="B54" s="1176">
        <v>19</v>
      </c>
      <c r="C54" s="1177"/>
      <c r="D54" s="524" t="str">
        <f t="shared" ca="1" si="19"/>
        <v>-</v>
      </c>
      <c r="E54" s="525" t="str">
        <f t="shared" ca="1" si="20"/>
        <v>-</v>
      </c>
      <c r="F54" s="525" t="str">
        <f t="shared" ca="1" si="21"/>
        <v>-</v>
      </c>
      <c r="G54" s="525" t="str">
        <f t="shared" ca="1" si="22"/>
        <v>-</v>
      </c>
      <c r="H54" s="525" t="str">
        <f t="shared" ca="1" si="23"/>
        <v>-</v>
      </c>
      <c r="I54" s="524" t="str">
        <f t="shared" ca="1" si="24"/>
        <v>-</v>
      </c>
      <c r="J54" s="525" t="str">
        <f t="shared" ca="1" si="25"/>
        <v>-</v>
      </c>
      <c r="K54" s="525" t="str">
        <f t="shared" ca="1" si="26"/>
        <v>-</v>
      </c>
      <c r="L54" s="525" t="str">
        <f t="shared" ca="1" si="27"/>
        <v>-</v>
      </c>
      <c r="M54" s="525" t="str">
        <f t="shared" ca="1" si="28"/>
        <v>-</v>
      </c>
      <c r="N54" s="524" t="str">
        <f t="shared" ca="1" si="29"/>
        <v>-</v>
      </c>
      <c r="O54" s="525" t="str">
        <f t="shared" ca="1" si="30"/>
        <v>-</v>
      </c>
      <c r="P54" s="525" t="str">
        <f t="shared" ca="1" si="31"/>
        <v>-</v>
      </c>
      <c r="Q54" s="525" t="str">
        <f t="shared" ca="1" si="32"/>
        <v>-</v>
      </c>
      <c r="R54" s="525" t="str">
        <f t="shared" ca="1" si="33"/>
        <v>-</v>
      </c>
      <c r="S54" s="524" t="str">
        <f t="shared" ca="1" si="34"/>
        <v>-</v>
      </c>
      <c r="T54" s="525" t="str">
        <f t="shared" ca="1" si="35"/>
        <v>-</v>
      </c>
      <c r="U54" s="525" t="str">
        <f t="shared" ca="1" si="36"/>
        <v>-</v>
      </c>
      <c r="V54" s="525" t="str">
        <f t="shared" ca="1" si="37"/>
        <v>-</v>
      </c>
      <c r="W54" s="525" t="str">
        <f t="shared" ca="1" si="38"/>
        <v>-</v>
      </c>
      <c r="X54" s="524" t="str">
        <f t="shared" ca="1" si="39"/>
        <v>-</v>
      </c>
      <c r="Y54" s="525" t="str">
        <f t="shared" ca="1" si="40"/>
        <v>-</v>
      </c>
      <c r="Z54" s="525" t="str">
        <f t="shared" ca="1" si="41"/>
        <v>-</v>
      </c>
      <c r="AA54" s="525" t="str">
        <f t="shared" ca="1" si="42"/>
        <v>-</v>
      </c>
      <c r="AB54" s="525" t="str">
        <f t="shared" ca="1" si="43"/>
        <v>-</v>
      </c>
      <c r="AC54" s="524" t="str">
        <f t="shared" ca="1" si="44"/>
        <v>-</v>
      </c>
      <c r="AD54" s="525" t="str">
        <f t="shared" ca="1" si="45"/>
        <v>-</v>
      </c>
      <c r="AE54" s="525" t="str">
        <f t="shared" ca="1" si="46"/>
        <v>-</v>
      </c>
      <c r="AF54" s="525" t="str">
        <f t="shared" ca="1" si="47"/>
        <v>-</v>
      </c>
      <c r="AG54" s="525" t="str">
        <f t="shared" ca="1" si="48"/>
        <v>-</v>
      </c>
      <c r="AH54" s="524" t="str">
        <f t="shared" ca="1" si="49"/>
        <v>-</v>
      </c>
      <c r="AI54" s="525" t="str">
        <f t="shared" ca="1" si="50"/>
        <v>-</v>
      </c>
      <c r="AJ54" s="525" t="str">
        <f t="shared" ca="1" si="51"/>
        <v>-</v>
      </c>
      <c r="AK54" s="525" t="str">
        <f t="shared" ca="1" si="52"/>
        <v>-</v>
      </c>
      <c r="AL54" s="525" t="str">
        <f t="shared" ca="1" si="53"/>
        <v>-</v>
      </c>
    </row>
    <row r="55" spans="2:38" s="35" customFormat="1" x14ac:dyDescent="0.25">
      <c r="B55" s="1176">
        <v>20</v>
      </c>
      <c r="C55" s="1177"/>
      <c r="D55" s="524" t="str">
        <f t="shared" ca="1" si="19"/>
        <v>-</v>
      </c>
      <c r="E55" s="525" t="str">
        <f t="shared" ca="1" si="20"/>
        <v>-</v>
      </c>
      <c r="F55" s="525" t="str">
        <f t="shared" ca="1" si="21"/>
        <v>-</v>
      </c>
      <c r="G55" s="525" t="str">
        <f t="shared" ca="1" si="22"/>
        <v>-</v>
      </c>
      <c r="H55" s="525" t="str">
        <f t="shared" ca="1" si="23"/>
        <v>-</v>
      </c>
      <c r="I55" s="524" t="str">
        <f t="shared" ca="1" si="24"/>
        <v>-</v>
      </c>
      <c r="J55" s="525" t="str">
        <f t="shared" ca="1" si="25"/>
        <v>-</v>
      </c>
      <c r="K55" s="525" t="str">
        <f t="shared" ca="1" si="26"/>
        <v>-</v>
      </c>
      <c r="L55" s="525" t="str">
        <f t="shared" ca="1" si="27"/>
        <v>-</v>
      </c>
      <c r="M55" s="525" t="str">
        <f t="shared" ca="1" si="28"/>
        <v>-</v>
      </c>
      <c r="N55" s="524" t="str">
        <f t="shared" ca="1" si="29"/>
        <v>-</v>
      </c>
      <c r="O55" s="525" t="str">
        <f t="shared" ca="1" si="30"/>
        <v>-</v>
      </c>
      <c r="P55" s="525" t="str">
        <f t="shared" ca="1" si="31"/>
        <v>-</v>
      </c>
      <c r="Q55" s="525" t="str">
        <f t="shared" ca="1" si="32"/>
        <v>-</v>
      </c>
      <c r="R55" s="525" t="str">
        <f t="shared" ca="1" si="33"/>
        <v>-</v>
      </c>
      <c r="S55" s="524" t="str">
        <f t="shared" ca="1" si="34"/>
        <v>-</v>
      </c>
      <c r="T55" s="525" t="str">
        <f t="shared" ca="1" si="35"/>
        <v>-</v>
      </c>
      <c r="U55" s="525" t="str">
        <f t="shared" ca="1" si="36"/>
        <v>-</v>
      </c>
      <c r="V55" s="525" t="str">
        <f t="shared" ca="1" si="37"/>
        <v>-</v>
      </c>
      <c r="W55" s="525" t="str">
        <f t="shared" ca="1" si="38"/>
        <v>-</v>
      </c>
      <c r="X55" s="524" t="str">
        <f t="shared" ca="1" si="39"/>
        <v>-</v>
      </c>
      <c r="Y55" s="525" t="str">
        <f t="shared" ca="1" si="40"/>
        <v>-</v>
      </c>
      <c r="Z55" s="525" t="str">
        <f t="shared" ca="1" si="41"/>
        <v>-</v>
      </c>
      <c r="AA55" s="525" t="str">
        <f t="shared" ca="1" si="42"/>
        <v>-</v>
      </c>
      <c r="AB55" s="525" t="str">
        <f t="shared" ca="1" si="43"/>
        <v>-</v>
      </c>
      <c r="AC55" s="524" t="str">
        <f t="shared" ca="1" si="44"/>
        <v>-</v>
      </c>
      <c r="AD55" s="525" t="str">
        <f t="shared" ca="1" si="45"/>
        <v>-</v>
      </c>
      <c r="AE55" s="525" t="str">
        <f t="shared" ca="1" si="46"/>
        <v>-</v>
      </c>
      <c r="AF55" s="525" t="str">
        <f t="shared" ca="1" si="47"/>
        <v>-</v>
      </c>
      <c r="AG55" s="525" t="str">
        <f t="shared" ca="1" si="48"/>
        <v>-</v>
      </c>
      <c r="AH55" s="524" t="str">
        <f t="shared" ca="1" si="49"/>
        <v>-</v>
      </c>
      <c r="AI55" s="525" t="str">
        <f t="shared" ca="1" si="50"/>
        <v>-</v>
      </c>
      <c r="AJ55" s="525" t="str">
        <f t="shared" ca="1" si="51"/>
        <v>-</v>
      </c>
      <c r="AK55" s="525" t="str">
        <f t="shared" ca="1" si="52"/>
        <v>-</v>
      </c>
      <c r="AL55" s="525" t="str">
        <f t="shared" ca="1" si="53"/>
        <v>-</v>
      </c>
    </row>
    <row r="56" spans="2:38" s="35" customFormat="1" x14ac:dyDescent="0.25">
      <c r="B56" s="1176">
        <v>21</v>
      </c>
      <c r="C56" s="1177"/>
      <c r="D56" s="524" t="str">
        <f t="shared" ca="1" si="19"/>
        <v>-</v>
      </c>
      <c r="E56" s="525" t="str">
        <f t="shared" ca="1" si="20"/>
        <v>-</v>
      </c>
      <c r="F56" s="525" t="str">
        <f t="shared" ca="1" si="21"/>
        <v>-</v>
      </c>
      <c r="G56" s="525" t="str">
        <f t="shared" ca="1" si="22"/>
        <v>-</v>
      </c>
      <c r="H56" s="525" t="str">
        <f t="shared" ca="1" si="23"/>
        <v>-</v>
      </c>
      <c r="I56" s="524" t="str">
        <f t="shared" ca="1" si="24"/>
        <v>-</v>
      </c>
      <c r="J56" s="525" t="str">
        <f t="shared" ca="1" si="25"/>
        <v>-</v>
      </c>
      <c r="K56" s="525" t="str">
        <f t="shared" ca="1" si="26"/>
        <v>-</v>
      </c>
      <c r="L56" s="525" t="str">
        <f t="shared" ca="1" si="27"/>
        <v>-</v>
      </c>
      <c r="M56" s="525" t="str">
        <f t="shared" ca="1" si="28"/>
        <v>-</v>
      </c>
      <c r="N56" s="524" t="str">
        <f t="shared" ca="1" si="29"/>
        <v>-</v>
      </c>
      <c r="O56" s="525" t="str">
        <f t="shared" ca="1" si="30"/>
        <v>-</v>
      </c>
      <c r="P56" s="525" t="str">
        <f t="shared" ca="1" si="31"/>
        <v>-</v>
      </c>
      <c r="Q56" s="525" t="str">
        <f t="shared" ca="1" si="32"/>
        <v>-</v>
      </c>
      <c r="R56" s="525" t="str">
        <f t="shared" ca="1" si="33"/>
        <v>-</v>
      </c>
      <c r="S56" s="524" t="str">
        <f t="shared" ca="1" si="34"/>
        <v>-</v>
      </c>
      <c r="T56" s="525" t="str">
        <f t="shared" ca="1" si="35"/>
        <v>-</v>
      </c>
      <c r="U56" s="525" t="str">
        <f t="shared" ca="1" si="36"/>
        <v>-</v>
      </c>
      <c r="V56" s="525" t="str">
        <f t="shared" ca="1" si="37"/>
        <v>-</v>
      </c>
      <c r="W56" s="525" t="str">
        <f t="shared" ca="1" si="38"/>
        <v>-</v>
      </c>
      <c r="X56" s="524" t="str">
        <f t="shared" ca="1" si="39"/>
        <v>-</v>
      </c>
      <c r="Y56" s="525" t="str">
        <f t="shared" ca="1" si="40"/>
        <v>-</v>
      </c>
      <c r="Z56" s="525" t="str">
        <f t="shared" ca="1" si="41"/>
        <v>-</v>
      </c>
      <c r="AA56" s="525" t="str">
        <f t="shared" ca="1" si="42"/>
        <v>-</v>
      </c>
      <c r="AB56" s="525" t="str">
        <f t="shared" ca="1" si="43"/>
        <v>-</v>
      </c>
      <c r="AC56" s="524" t="str">
        <f t="shared" ca="1" si="44"/>
        <v>-</v>
      </c>
      <c r="AD56" s="525" t="str">
        <f t="shared" ca="1" si="45"/>
        <v>-</v>
      </c>
      <c r="AE56" s="525" t="str">
        <f t="shared" ca="1" si="46"/>
        <v>-</v>
      </c>
      <c r="AF56" s="525" t="str">
        <f t="shared" ca="1" si="47"/>
        <v>-</v>
      </c>
      <c r="AG56" s="525" t="str">
        <f t="shared" ca="1" si="48"/>
        <v>-</v>
      </c>
      <c r="AH56" s="524" t="str">
        <f t="shared" ca="1" si="49"/>
        <v>-</v>
      </c>
      <c r="AI56" s="525" t="str">
        <f t="shared" ca="1" si="50"/>
        <v>-</v>
      </c>
      <c r="AJ56" s="525" t="str">
        <f t="shared" ca="1" si="51"/>
        <v>-</v>
      </c>
      <c r="AK56" s="525" t="str">
        <f t="shared" ca="1" si="52"/>
        <v>-</v>
      </c>
      <c r="AL56" s="525" t="str">
        <f t="shared" ca="1" si="53"/>
        <v>-</v>
      </c>
    </row>
    <row r="57" spans="2:38" s="35" customFormat="1" x14ac:dyDescent="0.25">
      <c r="B57" s="1176">
        <v>22</v>
      </c>
      <c r="C57" s="1177"/>
      <c r="D57" s="524" t="str">
        <f t="shared" ca="1" si="19"/>
        <v>-</v>
      </c>
      <c r="E57" s="525" t="str">
        <f t="shared" ca="1" si="20"/>
        <v>-</v>
      </c>
      <c r="F57" s="525" t="str">
        <f t="shared" ca="1" si="21"/>
        <v>-</v>
      </c>
      <c r="G57" s="525" t="str">
        <f t="shared" ca="1" si="22"/>
        <v>-</v>
      </c>
      <c r="H57" s="525" t="str">
        <f t="shared" ca="1" si="23"/>
        <v>-</v>
      </c>
      <c r="I57" s="524" t="str">
        <f t="shared" ca="1" si="24"/>
        <v>-</v>
      </c>
      <c r="J57" s="525" t="str">
        <f t="shared" ca="1" si="25"/>
        <v>-</v>
      </c>
      <c r="K57" s="525" t="str">
        <f t="shared" ca="1" si="26"/>
        <v>-</v>
      </c>
      <c r="L57" s="525" t="str">
        <f t="shared" ca="1" si="27"/>
        <v>-</v>
      </c>
      <c r="M57" s="525" t="str">
        <f t="shared" ca="1" si="28"/>
        <v>-</v>
      </c>
      <c r="N57" s="524" t="str">
        <f t="shared" ca="1" si="29"/>
        <v>-</v>
      </c>
      <c r="O57" s="525" t="str">
        <f t="shared" ca="1" si="30"/>
        <v>-</v>
      </c>
      <c r="P57" s="525" t="str">
        <f t="shared" ca="1" si="31"/>
        <v>-</v>
      </c>
      <c r="Q57" s="525" t="str">
        <f t="shared" ca="1" si="32"/>
        <v>-</v>
      </c>
      <c r="R57" s="525" t="str">
        <f t="shared" ca="1" si="33"/>
        <v>-</v>
      </c>
      <c r="S57" s="524" t="str">
        <f t="shared" ca="1" si="34"/>
        <v>-</v>
      </c>
      <c r="T57" s="525" t="str">
        <f t="shared" ca="1" si="35"/>
        <v>-</v>
      </c>
      <c r="U57" s="525" t="str">
        <f t="shared" ca="1" si="36"/>
        <v>-</v>
      </c>
      <c r="V57" s="525" t="str">
        <f t="shared" ca="1" si="37"/>
        <v>-</v>
      </c>
      <c r="W57" s="525" t="str">
        <f t="shared" ca="1" si="38"/>
        <v>-</v>
      </c>
      <c r="X57" s="524" t="str">
        <f t="shared" ca="1" si="39"/>
        <v>-</v>
      </c>
      <c r="Y57" s="525" t="str">
        <f t="shared" ca="1" si="40"/>
        <v>-</v>
      </c>
      <c r="Z57" s="525" t="str">
        <f t="shared" ca="1" si="41"/>
        <v>-</v>
      </c>
      <c r="AA57" s="525" t="str">
        <f t="shared" ca="1" si="42"/>
        <v>-</v>
      </c>
      <c r="AB57" s="525" t="str">
        <f t="shared" ca="1" si="43"/>
        <v>-</v>
      </c>
      <c r="AC57" s="524" t="str">
        <f t="shared" ca="1" si="44"/>
        <v>-</v>
      </c>
      <c r="AD57" s="525" t="str">
        <f t="shared" ca="1" si="45"/>
        <v>-</v>
      </c>
      <c r="AE57" s="525" t="str">
        <f t="shared" ca="1" si="46"/>
        <v>-</v>
      </c>
      <c r="AF57" s="525" t="str">
        <f t="shared" ca="1" si="47"/>
        <v>-</v>
      </c>
      <c r="AG57" s="525" t="str">
        <f t="shared" ca="1" si="48"/>
        <v>-</v>
      </c>
      <c r="AH57" s="524" t="str">
        <f t="shared" ca="1" si="49"/>
        <v>-</v>
      </c>
      <c r="AI57" s="525" t="str">
        <f t="shared" ca="1" si="50"/>
        <v>-</v>
      </c>
      <c r="AJ57" s="525" t="str">
        <f t="shared" ca="1" si="51"/>
        <v>-</v>
      </c>
      <c r="AK57" s="525" t="str">
        <f t="shared" ca="1" si="52"/>
        <v>-</v>
      </c>
      <c r="AL57" s="525" t="str">
        <f t="shared" ca="1" si="53"/>
        <v>-</v>
      </c>
    </row>
    <row r="58" spans="2:38" s="35" customFormat="1" x14ac:dyDescent="0.25">
      <c r="B58" s="1176">
        <v>23</v>
      </c>
      <c r="C58" s="1177"/>
      <c r="D58" s="524" t="str">
        <f t="shared" ca="1" si="19"/>
        <v>-</v>
      </c>
      <c r="E58" s="525" t="str">
        <f t="shared" ca="1" si="20"/>
        <v>-</v>
      </c>
      <c r="F58" s="525" t="str">
        <f t="shared" ca="1" si="21"/>
        <v>-</v>
      </c>
      <c r="G58" s="525" t="str">
        <f t="shared" ca="1" si="22"/>
        <v>-</v>
      </c>
      <c r="H58" s="525" t="str">
        <f t="shared" ca="1" si="23"/>
        <v>-</v>
      </c>
      <c r="I58" s="524" t="str">
        <f t="shared" ca="1" si="24"/>
        <v>-</v>
      </c>
      <c r="J58" s="525" t="str">
        <f t="shared" ca="1" si="25"/>
        <v>-</v>
      </c>
      <c r="K58" s="525" t="str">
        <f t="shared" ca="1" si="26"/>
        <v>-</v>
      </c>
      <c r="L58" s="525" t="str">
        <f t="shared" ca="1" si="27"/>
        <v>-</v>
      </c>
      <c r="M58" s="525" t="str">
        <f t="shared" ca="1" si="28"/>
        <v>-</v>
      </c>
      <c r="N58" s="524" t="str">
        <f t="shared" ca="1" si="29"/>
        <v>-</v>
      </c>
      <c r="O58" s="525" t="str">
        <f t="shared" ca="1" si="30"/>
        <v>-</v>
      </c>
      <c r="P58" s="525" t="str">
        <f t="shared" ca="1" si="31"/>
        <v>-</v>
      </c>
      <c r="Q58" s="525" t="str">
        <f t="shared" ca="1" si="32"/>
        <v>-</v>
      </c>
      <c r="R58" s="525" t="str">
        <f t="shared" ca="1" si="33"/>
        <v>-</v>
      </c>
      <c r="S58" s="524" t="str">
        <f t="shared" ca="1" si="34"/>
        <v>-</v>
      </c>
      <c r="T58" s="525" t="str">
        <f t="shared" ca="1" si="35"/>
        <v>-</v>
      </c>
      <c r="U58" s="525" t="str">
        <f t="shared" ca="1" si="36"/>
        <v>-</v>
      </c>
      <c r="V58" s="525" t="str">
        <f t="shared" ca="1" si="37"/>
        <v>-</v>
      </c>
      <c r="W58" s="525" t="str">
        <f t="shared" ca="1" si="38"/>
        <v>-</v>
      </c>
      <c r="X58" s="524" t="str">
        <f t="shared" ca="1" si="39"/>
        <v>-</v>
      </c>
      <c r="Y58" s="525" t="str">
        <f t="shared" ca="1" si="40"/>
        <v>-</v>
      </c>
      <c r="Z58" s="525" t="str">
        <f t="shared" ca="1" si="41"/>
        <v>-</v>
      </c>
      <c r="AA58" s="525" t="str">
        <f t="shared" ca="1" si="42"/>
        <v>-</v>
      </c>
      <c r="AB58" s="525" t="str">
        <f t="shared" ca="1" si="43"/>
        <v>-</v>
      </c>
      <c r="AC58" s="524" t="str">
        <f t="shared" ca="1" si="44"/>
        <v>-</v>
      </c>
      <c r="AD58" s="525" t="str">
        <f t="shared" ca="1" si="45"/>
        <v>-</v>
      </c>
      <c r="AE58" s="525" t="str">
        <f t="shared" ca="1" si="46"/>
        <v>-</v>
      </c>
      <c r="AF58" s="525" t="str">
        <f t="shared" ca="1" si="47"/>
        <v>-</v>
      </c>
      <c r="AG58" s="525" t="str">
        <f t="shared" ca="1" si="48"/>
        <v>-</v>
      </c>
      <c r="AH58" s="524" t="str">
        <f t="shared" ca="1" si="49"/>
        <v>-</v>
      </c>
      <c r="AI58" s="525" t="str">
        <f t="shared" ca="1" si="50"/>
        <v>-</v>
      </c>
      <c r="AJ58" s="525" t="str">
        <f t="shared" ca="1" si="51"/>
        <v>-</v>
      </c>
      <c r="AK58" s="525" t="str">
        <f t="shared" ca="1" si="52"/>
        <v>-</v>
      </c>
      <c r="AL58" s="525" t="str">
        <f t="shared" ca="1" si="53"/>
        <v>-</v>
      </c>
    </row>
    <row r="59" spans="2:38" s="35" customFormat="1" x14ac:dyDescent="0.25">
      <c r="B59" s="1176">
        <v>24</v>
      </c>
      <c r="C59" s="1177"/>
      <c r="D59" s="524" t="str">
        <f t="shared" ca="1" si="19"/>
        <v>-</v>
      </c>
      <c r="E59" s="525" t="str">
        <f t="shared" ca="1" si="20"/>
        <v>-</v>
      </c>
      <c r="F59" s="525" t="str">
        <f t="shared" ca="1" si="21"/>
        <v>-</v>
      </c>
      <c r="G59" s="525" t="str">
        <f t="shared" ca="1" si="22"/>
        <v>-</v>
      </c>
      <c r="H59" s="525" t="str">
        <f t="shared" ca="1" si="23"/>
        <v>-</v>
      </c>
      <c r="I59" s="524" t="str">
        <f t="shared" ca="1" si="24"/>
        <v>-</v>
      </c>
      <c r="J59" s="525" t="str">
        <f t="shared" ca="1" si="25"/>
        <v>-</v>
      </c>
      <c r="K59" s="525" t="str">
        <f t="shared" ca="1" si="26"/>
        <v>-</v>
      </c>
      <c r="L59" s="525" t="str">
        <f t="shared" ca="1" si="27"/>
        <v>-</v>
      </c>
      <c r="M59" s="525" t="str">
        <f t="shared" ca="1" si="28"/>
        <v>-</v>
      </c>
      <c r="N59" s="524" t="str">
        <f t="shared" ca="1" si="29"/>
        <v>-</v>
      </c>
      <c r="O59" s="525" t="str">
        <f t="shared" ca="1" si="30"/>
        <v>-</v>
      </c>
      <c r="P59" s="525" t="str">
        <f t="shared" ca="1" si="31"/>
        <v>-</v>
      </c>
      <c r="Q59" s="525" t="str">
        <f t="shared" ca="1" si="32"/>
        <v>-</v>
      </c>
      <c r="R59" s="525" t="str">
        <f t="shared" ca="1" si="33"/>
        <v>-</v>
      </c>
      <c r="S59" s="524" t="str">
        <f t="shared" ca="1" si="34"/>
        <v>-</v>
      </c>
      <c r="T59" s="525" t="str">
        <f t="shared" ca="1" si="35"/>
        <v>-</v>
      </c>
      <c r="U59" s="525" t="str">
        <f t="shared" ca="1" si="36"/>
        <v>-</v>
      </c>
      <c r="V59" s="525" t="str">
        <f t="shared" ca="1" si="37"/>
        <v>-</v>
      </c>
      <c r="W59" s="525" t="str">
        <f t="shared" ca="1" si="38"/>
        <v>-</v>
      </c>
      <c r="X59" s="524" t="str">
        <f t="shared" ca="1" si="39"/>
        <v>-</v>
      </c>
      <c r="Y59" s="525" t="str">
        <f t="shared" ca="1" si="40"/>
        <v>-</v>
      </c>
      <c r="Z59" s="525" t="str">
        <f t="shared" ca="1" si="41"/>
        <v>-</v>
      </c>
      <c r="AA59" s="525" t="str">
        <f t="shared" ca="1" si="42"/>
        <v>-</v>
      </c>
      <c r="AB59" s="525" t="str">
        <f t="shared" ca="1" si="43"/>
        <v>-</v>
      </c>
      <c r="AC59" s="524" t="str">
        <f t="shared" ca="1" si="44"/>
        <v>-</v>
      </c>
      <c r="AD59" s="525" t="str">
        <f t="shared" ca="1" si="45"/>
        <v>-</v>
      </c>
      <c r="AE59" s="525" t="str">
        <f t="shared" ca="1" si="46"/>
        <v>-</v>
      </c>
      <c r="AF59" s="525" t="str">
        <f t="shared" ca="1" si="47"/>
        <v>-</v>
      </c>
      <c r="AG59" s="525" t="str">
        <f t="shared" ca="1" si="48"/>
        <v>-</v>
      </c>
      <c r="AH59" s="524" t="str">
        <f t="shared" ca="1" si="49"/>
        <v>-</v>
      </c>
      <c r="AI59" s="525" t="str">
        <f t="shared" ca="1" si="50"/>
        <v>-</v>
      </c>
      <c r="AJ59" s="525" t="str">
        <f t="shared" ca="1" si="51"/>
        <v>-</v>
      </c>
      <c r="AK59" s="525" t="str">
        <f t="shared" ca="1" si="52"/>
        <v>-</v>
      </c>
      <c r="AL59" s="525" t="str">
        <f t="shared" ca="1" si="53"/>
        <v>-</v>
      </c>
    </row>
    <row r="60" spans="2:38" s="35" customFormat="1" x14ac:dyDescent="0.2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row>
    <row r="61" spans="2:38" s="35" customFormat="1" x14ac:dyDescent="0.25">
      <c r="B61" s="315"/>
      <c r="C61" s="59"/>
      <c r="D61" s="59"/>
      <c r="E61" s="59"/>
      <c r="F61" s="59"/>
      <c r="G61" s="59"/>
      <c r="H61" s="59"/>
      <c r="I61" s="50"/>
      <c r="J61" s="50"/>
      <c r="K61" s="50"/>
      <c r="L61" s="50"/>
      <c r="M61" s="50"/>
      <c r="S61" s="50"/>
      <c r="T61" s="50"/>
      <c r="U61" s="50"/>
      <c r="V61" s="50"/>
      <c r="W61" s="50"/>
      <c r="X61" s="50"/>
    </row>
    <row r="62" spans="2:38" ht="15" customHeight="1" x14ac:dyDescent="0.25">
      <c r="B62" s="1199" t="str">
        <f>SecondDirection</f>
        <v>Direction 2</v>
      </c>
      <c r="C62" s="1200"/>
      <c r="D62" s="1185" t="s">
        <v>843</v>
      </c>
      <c r="E62" s="1186"/>
      <c r="F62" s="1186"/>
      <c r="G62" s="1186"/>
      <c r="H62" s="1187"/>
      <c r="I62" s="1185" t="s">
        <v>528</v>
      </c>
      <c r="J62" s="1186"/>
      <c r="K62" s="1186"/>
      <c r="L62" s="1186"/>
      <c r="M62" s="1187"/>
      <c r="N62" s="1193" t="s">
        <v>579</v>
      </c>
      <c r="O62" s="1194"/>
      <c r="P62" s="1194"/>
      <c r="Q62" s="1194"/>
      <c r="R62" s="1195"/>
      <c r="S62" s="1185" t="s">
        <v>788</v>
      </c>
      <c r="T62" s="1186"/>
      <c r="U62" s="1186"/>
      <c r="V62" s="1186"/>
      <c r="W62" s="1187"/>
      <c r="X62" s="1185" t="str">
        <f>FirstDetourName</f>
        <v>Primary Detour</v>
      </c>
      <c r="Y62" s="1186"/>
      <c r="Z62" s="1186"/>
      <c r="AA62" s="1186"/>
      <c r="AB62" s="1187"/>
      <c r="AC62" s="1185" t="str">
        <f>SecondDetourName</f>
        <v>Secondary Detour</v>
      </c>
      <c r="AD62" s="1186"/>
      <c r="AE62" s="1186"/>
      <c r="AF62" s="1186"/>
      <c r="AG62" s="1187"/>
      <c r="AH62" s="1186" t="str">
        <f>ThirdDetourName</f>
        <v>Tertiary Detour</v>
      </c>
      <c r="AI62" s="1186"/>
      <c r="AJ62" s="1186"/>
      <c r="AK62" s="1186"/>
      <c r="AL62" s="1198"/>
    </row>
    <row r="63" spans="2:38" ht="15" customHeight="1" x14ac:dyDescent="0.25">
      <c r="B63" s="1182" t="s">
        <v>790</v>
      </c>
      <c r="C63" s="313" t="s">
        <v>528</v>
      </c>
      <c r="D63" s="1188" t="s">
        <v>789</v>
      </c>
      <c r="E63" s="1189"/>
      <c r="F63" s="1189"/>
      <c r="G63" s="1189"/>
      <c r="H63" s="1190"/>
      <c r="I63" s="1188" t="s">
        <v>789</v>
      </c>
      <c r="J63" s="1189"/>
      <c r="K63" s="1189"/>
      <c r="L63" s="1189"/>
      <c r="M63" s="1190"/>
      <c r="N63" s="1188" t="s">
        <v>789</v>
      </c>
      <c r="O63" s="1189"/>
      <c r="P63" s="1189"/>
      <c r="Q63" s="1189"/>
      <c r="R63" s="1190"/>
      <c r="S63" s="1188" t="s">
        <v>789</v>
      </c>
      <c r="T63" s="1189"/>
      <c r="U63" s="1189"/>
      <c r="V63" s="1189"/>
      <c r="W63" s="1190"/>
      <c r="X63" s="1188" t="s">
        <v>789</v>
      </c>
      <c r="Y63" s="1189"/>
      <c r="Z63" s="1189"/>
      <c r="AA63" s="1189"/>
      <c r="AB63" s="1190"/>
      <c r="AC63" s="1188" t="s">
        <v>789</v>
      </c>
      <c r="AD63" s="1189"/>
      <c r="AE63" s="1189"/>
      <c r="AF63" s="1189"/>
      <c r="AG63" s="1190"/>
      <c r="AH63" s="1188" t="s">
        <v>789</v>
      </c>
      <c r="AI63" s="1189"/>
      <c r="AJ63" s="1189"/>
      <c r="AK63" s="1189"/>
      <c r="AL63" s="1197"/>
    </row>
    <row r="64" spans="2:38" x14ac:dyDescent="0.25">
      <c r="B64" s="1183"/>
      <c r="C64" s="1180" t="s">
        <v>647</v>
      </c>
      <c r="D64" s="183" t="s">
        <v>203</v>
      </c>
      <c r="E64" s="338" t="s">
        <v>176</v>
      </c>
      <c r="F64" s="338" t="s">
        <v>559</v>
      </c>
      <c r="G64" s="338" t="s">
        <v>558</v>
      </c>
      <c r="H64" s="317" t="s">
        <v>301</v>
      </c>
      <c r="I64" s="183" t="s">
        <v>203</v>
      </c>
      <c r="J64" s="302" t="s">
        <v>176</v>
      </c>
      <c r="K64" s="302" t="s">
        <v>559</v>
      </c>
      <c r="L64" s="302" t="s">
        <v>558</v>
      </c>
      <c r="M64" s="317" t="s">
        <v>301</v>
      </c>
      <c r="N64" s="183" t="s">
        <v>203</v>
      </c>
      <c r="O64" s="302" t="s">
        <v>176</v>
      </c>
      <c r="P64" s="302" t="s">
        <v>559</v>
      </c>
      <c r="Q64" s="302" t="s">
        <v>558</v>
      </c>
      <c r="R64" s="317" t="s">
        <v>301</v>
      </c>
      <c r="S64" s="183" t="s">
        <v>203</v>
      </c>
      <c r="T64" s="302" t="s">
        <v>176</v>
      </c>
      <c r="U64" s="302" t="s">
        <v>559</v>
      </c>
      <c r="V64" s="302" t="s">
        <v>558</v>
      </c>
      <c r="W64" s="317" t="s">
        <v>301</v>
      </c>
      <c r="X64" s="183" t="s">
        <v>203</v>
      </c>
      <c r="Y64" s="302" t="s">
        <v>176</v>
      </c>
      <c r="Z64" s="302" t="s">
        <v>559</v>
      </c>
      <c r="AA64" s="302" t="s">
        <v>558</v>
      </c>
      <c r="AB64" s="317" t="s">
        <v>301</v>
      </c>
      <c r="AC64" s="183" t="s">
        <v>203</v>
      </c>
      <c r="AD64" s="302" t="s">
        <v>176</v>
      </c>
      <c r="AE64" s="302" t="s">
        <v>559</v>
      </c>
      <c r="AF64" s="302" t="s">
        <v>558</v>
      </c>
      <c r="AG64" s="317" t="s">
        <v>301</v>
      </c>
      <c r="AH64" s="299" t="s">
        <v>203</v>
      </c>
      <c r="AI64" s="302" t="s">
        <v>176</v>
      </c>
      <c r="AJ64" s="302" t="s">
        <v>559</v>
      </c>
      <c r="AK64" s="302" t="s">
        <v>558</v>
      </c>
      <c r="AL64" s="318" t="s">
        <v>301</v>
      </c>
    </row>
    <row r="65" spans="2:38" s="35" customFormat="1" x14ac:dyDescent="0.25">
      <c r="B65" s="1184"/>
      <c r="C65" s="1181"/>
      <c r="D65" s="322">
        <v>1</v>
      </c>
      <c r="E65" s="320">
        <v>2</v>
      </c>
      <c r="F65" s="320">
        <v>3</v>
      </c>
      <c r="G65" s="320">
        <v>4</v>
      </c>
      <c r="H65" s="323">
        <v>5</v>
      </c>
      <c r="I65" s="322">
        <v>6</v>
      </c>
      <c r="J65" s="320">
        <v>7</v>
      </c>
      <c r="K65" s="320">
        <v>8</v>
      </c>
      <c r="L65" s="320">
        <v>9</v>
      </c>
      <c r="M65" s="323">
        <v>10</v>
      </c>
      <c r="N65" s="322">
        <v>11</v>
      </c>
      <c r="O65" s="320">
        <v>12</v>
      </c>
      <c r="P65" s="320">
        <v>13</v>
      </c>
      <c r="Q65" s="320">
        <v>14</v>
      </c>
      <c r="R65" s="323">
        <v>15</v>
      </c>
      <c r="S65" s="322">
        <v>16</v>
      </c>
      <c r="T65" s="320">
        <v>17</v>
      </c>
      <c r="U65" s="320">
        <v>18</v>
      </c>
      <c r="V65" s="320">
        <v>19</v>
      </c>
      <c r="W65" s="323">
        <v>20</v>
      </c>
      <c r="X65" s="322">
        <v>21</v>
      </c>
      <c r="Y65" s="320">
        <v>22</v>
      </c>
      <c r="Z65" s="320">
        <v>23</v>
      </c>
      <c r="AA65" s="320">
        <v>24</v>
      </c>
      <c r="AB65" s="323">
        <v>25</v>
      </c>
      <c r="AC65" s="322">
        <v>26</v>
      </c>
      <c r="AD65" s="320">
        <v>27</v>
      </c>
      <c r="AE65" s="320">
        <v>28</v>
      </c>
      <c r="AF65" s="320">
        <v>29</v>
      </c>
      <c r="AG65" s="323">
        <v>30</v>
      </c>
      <c r="AH65" s="320">
        <v>31</v>
      </c>
      <c r="AI65" s="320">
        <v>32</v>
      </c>
      <c r="AJ65" s="320">
        <v>33</v>
      </c>
      <c r="AK65" s="320">
        <v>34</v>
      </c>
      <c r="AL65" s="321">
        <v>35</v>
      </c>
    </row>
    <row r="66" spans="2:38" x14ac:dyDescent="0.25">
      <c r="B66" s="152">
        <f>IF(TimeStart2="All Day",0,TimeStart2)</f>
        <v>0</v>
      </c>
      <c r="C66" s="304" t="s">
        <v>531</v>
      </c>
      <c r="D66" s="516" t="e">
        <f>I66+N66+S66+X66+AC66+AH66</f>
        <v>#N/A</v>
      </c>
      <c r="E66" s="517" t="e">
        <f>J66+O66+T66+Y66+AD66+AI66</f>
        <v>#N/A</v>
      </c>
      <c r="F66" s="517" t="e">
        <f>K66+P66+U66+Z66+AE66+AJ66</f>
        <v>#N/A</v>
      </c>
      <c r="G66" s="517" t="e">
        <f>L66+Q66+V66+AA66+AF66+AK66</f>
        <v>#N/A</v>
      </c>
      <c r="H66" s="518" t="e">
        <f>M66+R66+W66+AB66+AG66+AL66</f>
        <v>#N/A</v>
      </c>
      <c r="I66" s="516" t="e">
        <f>MAX(0,ROUND(Volumes!BV37*CPPCwz2,0))</f>
        <v>#N/A</v>
      </c>
      <c r="J66" s="517" t="e">
        <f>MAX(0,ROUND(Volumes!BW37*CPSUwz2,0))</f>
        <v>#N/A</v>
      </c>
      <c r="K66" s="517" t="e">
        <f>MAX(0,ROUND(Volumes!BX37*CPCTwz2,0))</f>
        <v>#N/A</v>
      </c>
      <c r="L66" s="517" t="e">
        <f>MAX(0,ROUND(Volumes!BY37*CPRVwz2,0))</f>
        <v>#N/A</v>
      </c>
      <c r="M66" s="518" t="e">
        <f>SUM(I66:L66)</f>
        <v>#N/A</v>
      </c>
      <c r="N66" s="519" t="e">
        <f>MAX(0,ROUND((Queuing!Q43/60)*CPPCq2,0))</f>
        <v>#N/A</v>
      </c>
      <c r="O66" s="520" t="e">
        <f>MAX(0,ROUND((Queuing!R43/60)*CPSUq2,0))</f>
        <v>#N/A</v>
      </c>
      <c r="P66" s="520" t="e">
        <f>MAX(0,ROUND((Queuing!S43/60)*CPCTq2,0))</f>
        <v>#N/A</v>
      </c>
      <c r="Q66" s="520" t="e">
        <f>MAX(0,ROUND((Queuing!T43/60)*CPRVq2,0))</f>
        <v>#N/A</v>
      </c>
      <c r="R66" s="518" t="e">
        <f>SUM(N66:Q66)</f>
        <v>#N/A</v>
      </c>
      <c r="S66" s="519" t="e">
        <f>MAX(0,ROUND(Volumes!BV37*CPPCf2,0))</f>
        <v>#N/A</v>
      </c>
      <c r="T66" s="520" t="e">
        <f>MAX(0,ROUND(Volumes!BW37*CPSUf2,0))</f>
        <v>#N/A</v>
      </c>
      <c r="U66" s="520" t="e">
        <f>MAX(0,ROUND(Volumes!BX37*CPCTf2,0))</f>
        <v>#N/A</v>
      </c>
      <c r="V66" s="520" t="e">
        <f>MAX(0,ROUND(Volumes!BY37*CPRVf2,0))</f>
        <v>#N/A</v>
      </c>
      <c r="W66" s="518" t="e">
        <f>SUM(S66:V66)</f>
        <v>#N/A</v>
      </c>
      <c r="X66" s="519" t="e">
        <f>MAX(0,ROUND(Volumes!CB37*CPPCd12,0))</f>
        <v>#N/A</v>
      </c>
      <c r="Y66" s="520" t="e">
        <f>MAX(0,ROUND(Volumes!CC37*CPSUd12,0))</f>
        <v>#N/A</v>
      </c>
      <c r="Z66" s="520" t="e">
        <f>MAX(0,ROUND(Volumes!CD37*CPCTd12,0))</f>
        <v>#N/A</v>
      </c>
      <c r="AA66" s="520" t="e">
        <f>MAX(0,ROUND(Volumes!CE37*CPRVd12,0))</f>
        <v>#N/A</v>
      </c>
      <c r="AB66" s="518" t="e">
        <f>SUM(X66:AA66)</f>
        <v>#N/A</v>
      </c>
      <c r="AC66" s="519" t="e">
        <f>MAX(0,ROUND(Volumes!CH37*CPPCd22,0))</f>
        <v>#N/A</v>
      </c>
      <c r="AD66" s="520" t="e">
        <f>MAX(0,ROUND(Volumes!CI37*CPSUd22,0))</f>
        <v>#N/A</v>
      </c>
      <c r="AE66" s="520" t="e">
        <f>MAX(0,ROUND(Volumes!CJ37*CPCTd22,0))</f>
        <v>#N/A</v>
      </c>
      <c r="AF66" s="520" t="e">
        <f>MAX(0,ROUND(Volumes!CK37*CPRVd22,0))</f>
        <v>#N/A</v>
      </c>
      <c r="AG66" s="518" t="e">
        <f>SUM(AC66:AF66)</f>
        <v>#N/A</v>
      </c>
      <c r="AH66" s="521" t="e">
        <f>MAX(0,ROUND(Volumes!CN37*CPPCd32,0))</f>
        <v>#N/A</v>
      </c>
      <c r="AI66" s="520" t="e">
        <f>MAX(0,ROUND(Volumes!CO37*CPSUd32,0))</f>
        <v>#N/A</v>
      </c>
      <c r="AJ66" s="520" t="e">
        <f>MAX(0,ROUND(Volumes!CP37*CPCTd32,0))</f>
        <v>#N/A</v>
      </c>
      <c r="AK66" s="520" t="e">
        <f>MAX(0,ROUND(Volumes!CQ37*CPRVd32,0))</f>
        <v>#N/A</v>
      </c>
      <c r="AL66" s="517" t="e">
        <f>SUM(AH66:AK66)</f>
        <v>#N/A</v>
      </c>
    </row>
    <row r="67" spans="2:38" x14ac:dyDescent="0.25">
      <c r="B67" s="152">
        <f>IF(B66+TIME(1,0,0)=1,TIME(0,0,0),IF(B66+TIME(1,0,0)&gt;1,B66+TIME(1,0,0)-1,B66+TIME(1,0,0)))</f>
        <v>4.1666666666666664E-2</v>
      </c>
      <c r="C67" s="177" t="str">
        <f t="shared" ref="C67:C89" si="54">IF(TimeEnd2="All Day","YES",IF(ABS(TimeEnd2-B67)&lt;0.0000000001,"no",IF(C66="YES","YES","no")))</f>
        <v>YES</v>
      </c>
      <c r="D67" s="516" t="e">
        <f t="shared" ref="D67:D89" si="55">I67+N67+S67+X67+AC67+AH67</f>
        <v>#N/A</v>
      </c>
      <c r="E67" s="517" t="e">
        <f t="shared" ref="E67:E89" si="56">J67+O67+T67+Y67+AD67+AI67</f>
        <v>#N/A</v>
      </c>
      <c r="F67" s="517" t="e">
        <f t="shared" ref="F67:F89" si="57">K67+P67+U67+Z67+AE67+AJ67</f>
        <v>#N/A</v>
      </c>
      <c r="G67" s="517" t="e">
        <f t="shared" ref="G67:G89" si="58">L67+Q67+V67+AA67+AF67+AK67</f>
        <v>#N/A</v>
      </c>
      <c r="H67" s="518" t="e">
        <f t="shared" ref="H67:H89" si="59">M67+R67+W67+AB67+AG67+AL67</f>
        <v>#N/A</v>
      </c>
      <c r="I67" s="516" t="e">
        <f>MAX(0,ROUND(Volumes!BV38*CPPCwz2,0))</f>
        <v>#N/A</v>
      </c>
      <c r="J67" s="517" t="e">
        <f>MAX(0,ROUND(Volumes!BW38*CPSUwz2,0))</f>
        <v>#N/A</v>
      </c>
      <c r="K67" s="517" t="e">
        <f>MAX(0,ROUND(Volumes!BX38*CPCTwz2,0))</f>
        <v>#N/A</v>
      </c>
      <c r="L67" s="517" t="e">
        <f>MAX(0,ROUND(Volumes!BY38*CPRVwz2,0))</f>
        <v>#N/A</v>
      </c>
      <c r="M67" s="518" t="e">
        <f t="shared" ref="M67:M89" si="60">SUM(I67:L67)</f>
        <v>#N/A</v>
      </c>
      <c r="N67" s="519" t="e">
        <f>MAX(0,ROUND((Queuing!Q44/60)*CPPCq2,0))</f>
        <v>#N/A</v>
      </c>
      <c r="O67" s="520" t="e">
        <f>MAX(0,ROUND((Queuing!R44/60)*CPSUq2,0))</f>
        <v>#N/A</v>
      </c>
      <c r="P67" s="520" t="e">
        <f>MAX(0,ROUND((Queuing!S44/60)*CPCTq2,0))</f>
        <v>#N/A</v>
      </c>
      <c r="Q67" s="520" t="e">
        <f>MAX(0,ROUND((Queuing!T44/60)*CPRVq2,0))</f>
        <v>#N/A</v>
      </c>
      <c r="R67" s="518" t="e">
        <f t="shared" ref="R67:R89" si="61">SUM(N67:Q67)</f>
        <v>#N/A</v>
      </c>
      <c r="S67" s="519" t="e">
        <f>MAX(0,ROUND(Volumes!BV38*CPPCf2,0))</f>
        <v>#N/A</v>
      </c>
      <c r="T67" s="520" t="e">
        <f>MAX(0,ROUND(Volumes!BW38*CPSUf2,0))</f>
        <v>#N/A</v>
      </c>
      <c r="U67" s="520" t="e">
        <f>MAX(0,ROUND(Volumes!BX38*CPCTf2,0))</f>
        <v>#N/A</v>
      </c>
      <c r="V67" s="520" t="e">
        <f>MAX(0,ROUND(Volumes!BY38*CPRVf2,0))</f>
        <v>#N/A</v>
      </c>
      <c r="W67" s="518" t="e">
        <f t="shared" ref="W67:W89" si="62">SUM(S67:V67)</f>
        <v>#N/A</v>
      </c>
      <c r="X67" s="519" t="e">
        <f>MAX(0,ROUND(Volumes!CB38*CPPCd12,0))</f>
        <v>#N/A</v>
      </c>
      <c r="Y67" s="520" t="e">
        <f>MAX(0,ROUND(Volumes!CC38*CPSUd12,0))</f>
        <v>#N/A</v>
      </c>
      <c r="Z67" s="520" t="e">
        <f>MAX(0,ROUND(Volumes!CD38*CPCTd12,0))</f>
        <v>#N/A</v>
      </c>
      <c r="AA67" s="520" t="e">
        <f>MAX(0,ROUND(Volumes!CE38*CPRVd12,0))</f>
        <v>#N/A</v>
      </c>
      <c r="AB67" s="518" t="e">
        <f t="shared" ref="AB67:AB89" si="63">SUM(X67:AA67)</f>
        <v>#N/A</v>
      </c>
      <c r="AC67" s="519" t="e">
        <f>MAX(0,ROUND(Volumes!CH38*CPPCd22,0))</f>
        <v>#N/A</v>
      </c>
      <c r="AD67" s="520" t="e">
        <f>MAX(0,ROUND(Volumes!CI38*CPSUd22,0))</f>
        <v>#N/A</v>
      </c>
      <c r="AE67" s="520" t="e">
        <f>MAX(0,ROUND(Volumes!CJ38*CPCTd22,0))</f>
        <v>#N/A</v>
      </c>
      <c r="AF67" s="520" t="e">
        <f>MAX(0,ROUND(Volumes!CK38*CPRVd22,0))</f>
        <v>#N/A</v>
      </c>
      <c r="AG67" s="518" t="e">
        <f t="shared" ref="AG67:AG89" si="64">SUM(AC67:AF67)</f>
        <v>#N/A</v>
      </c>
      <c r="AH67" s="521" t="e">
        <f>MAX(0,ROUND(Volumes!CN38*CPPCd32,0))</f>
        <v>#N/A</v>
      </c>
      <c r="AI67" s="520" t="e">
        <f>MAX(0,ROUND(Volumes!CO38*CPSUd32,0))</f>
        <v>#N/A</v>
      </c>
      <c r="AJ67" s="520" t="e">
        <f>MAX(0,ROUND(Volumes!CP38*CPCTd32,0))</f>
        <v>#N/A</v>
      </c>
      <c r="AK67" s="520" t="e">
        <f>MAX(0,ROUND(Volumes!CQ38*CPRVd32,0))</f>
        <v>#N/A</v>
      </c>
      <c r="AL67" s="517" t="e">
        <f t="shared" ref="AL67:AL89" si="65">SUM(AH67:AK67)</f>
        <v>#N/A</v>
      </c>
    </row>
    <row r="68" spans="2:38" x14ac:dyDescent="0.25">
      <c r="B68" s="152">
        <f t="shared" ref="B68:B89" si="66">IF(B67+TIME(1,0,0)=1,TIME(0,0,0),IF(B67+TIME(1,0,0)&gt;1,B67+TIME(1,0,0)-1,B67+TIME(1,0,0)))</f>
        <v>8.3333333333333329E-2</v>
      </c>
      <c r="C68" s="177" t="str">
        <f t="shared" si="54"/>
        <v>YES</v>
      </c>
      <c r="D68" s="522" t="e">
        <f t="shared" si="55"/>
        <v>#N/A</v>
      </c>
      <c r="E68" s="517" t="e">
        <f t="shared" si="56"/>
        <v>#N/A</v>
      </c>
      <c r="F68" s="517" t="e">
        <f t="shared" si="57"/>
        <v>#N/A</v>
      </c>
      <c r="G68" s="523" t="e">
        <f t="shared" si="58"/>
        <v>#N/A</v>
      </c>
      <c r="H68" s="518" t="e">
        <f t="shared" si="59"/>
        <v>#N/A</v>
      </c>
      <c r="I68" s="516" t="e">
        <f>MAX(0,ROUND(Volumes!BV39*CPPCwz2,0))</f>
        <v>#N/A</v>
      </c>
      <c r="J68" s="517" t="e">
        <f>MAX(0,ROUND(Volumes!BW39*CPSUwz2,0))</f>
        <v>#N/A</v>
      </c>
      <c r="K68" s="517" t="e">
        <f>MAX(0,ROUND(Volumes!BX39*CPCTwz2,0))</f>
        <v>#N/A</v>
      </c>
      <c r="L68" s="517" t="e">
        <f>MAX(0,ROUND(Volumes!BY39*CPRVwz2,0))</f>
        <v>#N/A</v>
      </c>
      <c r="M68" s="518" t="e">
        <f t="shared" si="60"/>
        <v>#N/A</v>
      </c>
      <c r="N68" s="519" t="e">
        <f>MAX(0,ROUND((Queuing!Q45/60)*CPPCq2,0))</f>
        <v>#N/A</v>
      </c>
      <c r="O68" s="520" t="e">
        <f>MAX(0,ROUND((Queuing!R45/60)*CPSUq2,0))</f>
        <v>#N/A</v>
      </c>
      <c r="P68" s="520" t="e">
        <f>MAX(0,ROUND((Queuing!S45/60)*CPCTq2,0))</f>
        <v>#N/A</v>
      </c>
      <c r="Q68" s="520" t="e">
        <f>MAX(0,ROUND((Queuing!T45/60)*CPRVq2,0))</f>
        <v>#N/A</v>
      </c>
      <c r="R68" s="518" t="e">
        <f t="shared" si="61"/>
        <v>#N/A</v>
      </c>
      <c r="S68" s="519" t="e">
        <f>MAX(0,ROUND(Volumes!BV39*CPPCf2,0))</f>
        <v>#N/A</v>
      </c>
      <c r="T68" s="520" t="e">
        <f>MAX(0,ROUND(Volumes!BW39*CPSUf2,0))</f>
        <v>#N/A</v>
      </c>
      <c r="U68" s="520" t="e">
        <f>MAX(0,ROUND(Volumes!BX39*CPCTf2,0))</f>
        <v>#N/A</v>
      </c>
      <c r="V68" s="520" t="e">
        <f>MAX(0,ROUND(Volumes!BY39*CPRVf2,0))</f>
        <v>#N/A</v>
      </c>
      <c r="W68" s="518" t="e">
        <f t="shared" si="62"/>
        <v>#N/A</v>
      </c>
      <c r="X68" s="519" t="e">
        <f>MAX(0,ROUND(Volumes!CB39*CPPCd12,0))</f>
        <v>#N/A</v>
      </c>
      <c r="Y68" s="520" t="e">
        <f>MAX(0,ROUND(Volumes!CC39*CPSUd12,0))</f>
        <v>#N/A</v>
      </c>
      <c r="Z68" s="520" t="e">
        <f>MAX(0,ROUND(Volumes!CD39*CPCTd12,0))</f>
        <v>#N/A</v>
      </c>
      <c r="AA68" s="520" t="e">
        <f>MAX(0,ROUND(Volumes!CE39*CPRVd12,0))</f>
        <v>#N/A</v>
      </c>
      <c r="AB68" s="518" t="e">
        <f t="shared" si="63"/>
        <v>#N/A</v>
      </c>
      <c r="AC68" s="519" t="e">
        <f>MAX(0,ROUND(Volumes!CH39*CPPCd22,0))</f>
        <v>#N/A</v>
      </c>
      <c r="AD68" s="520" t="e">
        <f>MAX(0,ROUND(Volumes!CI39*CPSUd22,0))</f>
        <v>#N/A</v>
      </c>
      <c r="AE68" s="520" t="e">
        <f>MAX(0,ROUND(Volumes!CJ39*CPCTd22,0))</f>
        <v>#N/A</v>
      </c>
      <c r="AF68" s="520" t="e">
        <f>MAX(0,ROUND(Volumes!CK39*CPRVd22,0))</f>
        <v>#N/A</v>
      </c>
      <c r="AG68" s="518" t="e">
        <f t="shared" si="64"/>
        <v>#N/A</v>
      </c>
      <c r="AH68" s="521" t="e">
        <f>MAX(0,ROUND(Volumes!CN39*CPPCd32,0))</f>
        <v>#N/A</v>
      </c>
      <c r="AI68" s="520" t="e">
        <f>MAX(0,ROUND(Volumes!CO39*CPSUd32,0))</f>
        <v>#N/A</v>
      </c>
      <c r="AJ68" s="520" t="e">
        <f>MAX(0,ROUND(Volumes!CP39*CPCTd32,0))</f>
        <v>#N/A</v>
      </c>
      <c r="AK68" s="520" t="e">
        <f>MAX(0,ROUND(Volumes!CQ39*CPRVd32,0))</f>
        <v>#N/A</v>
      </c>
      <c r="AL68" s="517" t="e">
        <f t="shared" si="65"/>
        <v>#N/A</v>
      </c>
    </row>
    <row r="69" spans="2:38" x14ac:dyDescent="0.25">
      <c r="B69" s="152">
        <f t="shared" si="66"/>
        <v>0.125</v>
      </c>
      <c r="C69" s="177" t="str">
        <f t="shared" si="54"/>
        <v>YES</v>
      </c>
      <c r="D69" s="522" t="e">
        <f t="shared" si="55"/>
        <v>#N/A</v>
      </c>
      <c r="E69" s="517" t="e">
        <f t="shared" si="56"/>
        <v>#N/A</v>
      </c>
      <c r="F69" s="517" t="e">
        <f t="shared" si="57"/>
        <v>#N/A</v>
      </c>
      <c r="G69" s="523" t="e">
        <f t="shared" si="58"/>
        <v>#N/A</v>
      </c>
      <c r="H69" s="518" t="e">
        <f t="shared" si="59"/>
        <v>#N/A</v>
      </c>
      <c r="I69" s="516" t="e">
        <f>MAX(0,ROUND(Volumes!BV40*CPPCwz2,0))</f>
        <v>#N/A</v>
      </c>
      <c r="J69" s="517" t="e">
        <f>MAX(0,ROUND(Volumes!BW40*CPSUwz2,0))</f>
        <v>#N/A</v>
      </c>
      <c r="K69" s="517" t="e">
        <f>MAX(0,ROUND(Volumes!BX40*CPCTwz2,0))</f>
        <v>#N/A</v>
      </c>
      <c r="L69" s="517" t="e">
        <f>MAX(0,ROUND(Volumes!BY40*CPRVwz2,0))</f>
        <v>#N/A</v>
      </c>
      <c r="M69" s="518" t="e">
        <f t="shared" si="60"/>
        <v>#N/A</v>
      </c>
      <c r="N69" s="519" t="e">
        <f>MAX(0,ROUND((Queuing!Q46/60)*CPPCq2,0))</f>
        <v>#N/A</v>
      </c>
      <c r="O69" s="520" t="e">
        <f>MAX(0,ROUND((Queuing!R46/60)*CPSUq2,0))</f>
        <v>#N/A</v>
      </c>
      <c r="P69" s="520" t="e">
        <f>MAX(0,ROUND((Queuing!S46/60)*CPCTq2,0))</f>
        <v>#N/A</v>
      </c>
      <c r="Q69" s="520" t="e">
        <f>MAX(0,ROUND((Queuing!T46/60)*CPRVq2,0))</f>
        <v>#N/A</v>
      </c>
      <c r="R69" s="518" t="e">
        <f t="shared" si="61"/>
        <v>#N/A</v>
      </c>
      <c r="S69" s="519" t="e">
        <f>MAX(0,ROUND(Volumes!BV40*CPPCf2,0))</f>
        <v>#N/A</v>
      </c>
      <c r="T69" s="520" t="e">
        <f>MAX(0,ROUND(Volumes!BW40*CPSUf2,0))</f>
        <v>#N/A</v>
      </c>
      <c r="U69" s="520" t="e">
        <f>MAX(0,ROUND(Volumes!BX40*CPCTf2,0))</f>
        <v>#N/A</v>
      </c>
      <c r="V69" s="520" t="e">
        <f>MAX(0,ROUND(Volumes!BY40*CPRVf2,0))</f>
        <v>#N/A</v>
      </c>
      <c r="W69" s="518" t="e">
        <f t="shared" si="62"/>
        <v>#N/A</v>
      </c>
      <c r="X69" s="519" t="e">
        <f>MAX(0,ROUND(Volumes!CB40*CPPCd12,0))</f>
        <v>#N/A</v>
      </c>
      <c r="Y69" s="520" t="e">
        <f>MAX(0,ROUND(Volumes!CC40*CPSUd12,0))</f>
        <v>#N/A</v>
      </c>
      <c r="Z69" s="520" t="e">
        <f>MAX(0,ROUND(Volumes!CD40*CPCTd12,0))</f>
        <v>#N/A</v>
      </c>
      <c r="AA69" s="520" t="e">
        <f>MAX(0,ROUND(Volumes!CE40*CPRVd12,0))</f>
        <v>#N/A</v>
      </c>
      <c r="AB69" s="518" t="e">
        <f t="shared" si="63"/>
        <v>#N/A</v>
      </c>
      <c r="AC69" s="519" t="e">
        <f>MAX(0,ROUND(Volumes!CH40*CPPCd22,0))</f>
        <v>#N/A</v>
      </c>
      <c r="AD69" s="520" t="e">
        <f>MAX(0,ROUND(Volumes!CI40*CPSUd22,0))</f>
        <v>#N/A</v>
      </c>
      <c r="AE69" s="520" t="e">
        <f>MAX(0,ROUND(Volumes!CJ40*CPCTd22,0))</f>
        <v>#N/A</v>
      </c>
      <c r="AF69" s="520" t="e">
        <f>MAX(0,ROUND(Volumes!CK40*CPRVd22,0))</f>
        <v>#N/A</v>
      </c>
      <c r="AG69" s="518" t="e">
        <f t="shared" si="64"/>
        <v>#N/A</v>
      </c>
      <c r="AH69" s="521" t="e">
        <f>MAX(0,ROUND(Volumes!CN40*CPPCd32,0))</f>
        <v>#N/A</v>
      </c>
      <c r="AI69" s="520" t="e">
        <f>MAX(0,ROUND(Volumes!CO40*CPSUd32,0))</f>
        <v>#N/A</v>
      </c>
      <c r="AJ69" s="520" t="e">
        <f>MAX(0,ROUND(Volumes!CP40*CPCTd32,0))</f>
        <v>#N/A</v>
      </c>
      <c r="AK69" s="520" t="e">
        <f>MAX(0,ROUND(Volumes!CQ40*CPRVd32,0))</f>
        <v>#N/A</v>
      </c>
      <c r="AL69" s="517" t="e">
        <f t="shared" si="65"/>
        <v>#N/A</v>
      </c>
    </row>
    <row r="70" spans="2:38" x14ac:dyDescent="0.25">
      <c r="B70" s="152">
        <f t="shared" si="66"/>
        <v>0.16666666666666666</v>
      </c>
      <c r="C70" s="177" t="str">
        <f t="shared" si="54"/>
        <v>YES</v>
      </c>
      <c r="D70" s="522" t="e">
        <f t="shared" si="55"/>
        <v>#N/A</v>
      </c>
      <c r="E70" s="517" t="e">
        <f t="shared" si="56"/>
        <v>#N/A</v>
      </c>
      <c r="F70" s="517" t="e">
        <f t="shared" si="57"/>
        <v>#N/A</v>
      </c>
      <c r="G70" s="523" t="e">
        <f t="shared" si="58"/>
        <v>#N/A</v>
      </c>
      <c r="H70" s="518" t="e">
        <f t="shared" si="59"/>
        <v>#N/A</v>
      </c>
      <c r="I70" s="516" t="e">
        <f>MAX(0,ROUND(Volumes!BV41*CPPCwz2,0))</f>
        <v>#N/A</v>
      </c>
      <c r="J70" s="517" t="e">
        <f>MAX(0,ROUND(Volumes!BW41*CPSUwz2,0))</f>
        <v>#N/A</v>
      </c>
      <c r="K70" s="517" t="e">
        <f>MAX(0,ROUND(Volumes!BX41*CPCTwz2,0))</f>
        <v>#N/A</v>
      </c>
      <c r="L70" s="517" t="e">
        <f>MAX(0,ROUND(Volumes!BY41*CPRVwz2,0))</f>
        <v>#N/A</v>
      </c>
      <c r="M70" s="518" t="e">
        <f t="shared" si="60"/>
        <v>#N/A</v>
      </c>
      <c r="N70" s="519" t="e">
        <f>MAX(0,ROUND((Queuing!Q47/60)*CPPCq2,0))</f>
        <v>#N/A</v>
      </c>
      <c r="O70" s="520" t="e">
        <f>MAX(0,ROUND((Queuing!R47/60)*CPSUq2,0))</f>
        <v>#N/A</v>
      </c>
      <c r="P70" s="520" t="e">
        <f>MAX(0,ROUND((Queuing!S47/60)*CPCTq2,0))</f>
        <v>#N/A</v>
      </c>
      <c r="Q70" s="520" t="e">
        <f>MAX(0,ROUND((Queuing!T47/60)*CPRVq2,0))</f>
        <v>#N/A</v>
      </c>
      <c r="R70" s="518" t="e">
        <f t="shared" si="61"/>
        <v>#N/A</v>
      </c>
      <c r="S70" s="519" t="e">
        <f>MAX(0,ROUND(Volumes!BV41*CPPCf2,0))</f>
        <v>#N/A</v>
      </c>
      <c r="T70" s="520" t="e">
        <f>MAX(0,ROUND(Volumes!BW41*CPSUf2,0))</f>
        <v>#N/A</v>
      </c>
      <c r="U70" s="520" t="e">
        <f>MAX(0,ROUND(Volumes!BX41*CPCTf2,0))</f>
        <v>#N/A</v>
      </c>
      <c r="V70" s="520" t="e">
        <f>MAX(0,ROUND(Volumes!BY41*CPRVf2,0))</f>
        <v>#N/A</v>
      </c>
      <c r="W70" s="518" t="e">
        <f t="shared" si="62"/>
        <v>#N/A</v>
      </c>
      <c r="X70" s="519" t="e">
        <f>MAX(0,ROUND(Volumes!CB41*CPPCd12,0))</f>
        <v>#N/A</v>
      </c>
      <c r="Y70" s="520" t="e">
        <f>MAX(0,ROUND(Volumes!CC41*CPSUd12,0))</f>
        <v>#N/A</v>
      </c>
      <c r="Z70" s="520" t="e">
        <f>MAX(0,ROUND(Volumes!CD41*CPCTd12,0))</f>
        <v>#N/A</v>
      </c>
      <c r="AA70" s="520" t="e">
        <f>MAX(0,ROUND(Volumes!CE41*CPRVd12,0))</f>
        <v>#N/A</v>
      </c>
      <c r="AB70" s="518" t="e">
        <f t="shared" si="63"/>
        <v>#N/A</v>
      </c>
      <c r="AC70" s="519" t="e">
        <f>MAX(0,ROUND(Volumes!CH41*CPPCd22,0))</f>
        <v>#N/A</v>
      </c>
      <c r="AD70" s="520" t="e">
        <f>MAX(0,ROUND(Volumes!CI41*CPSUd22,0))</f>
        <v>#N/A</v>
      </c>
      <c r="AE70" s="520" t="e">
        <f>MAX(0,ROUND(Volumes!CJ41*CPCTd22,0))</f>
        <v>#N/A</v>
      </c>
      <c r="AF70" s="520" t="e">
        <f>MAX(0,ROUND(Volumes!CK41*CPRVd22,0))</f>
        <v>#N/A</v>
      </c>
      <c r="AG70" s="518" t="e">
        <f t="shared" si="64"/>
        <v>#N/A</v>
      </c>
      <c r="AH70" s="521" t="e">
        <f>MAX(0,ROUND(Volumes!CN41*CPPCd32,0))</f>
        <v>#N/A</v>
      </c>
      <c r="AI70" s="520" t="e">
        <f>MAX(0,ROUND(Volumes!CO41*CPSUd32,0))</f>
        <v>#N/A</v>
      </c>
      <c r="AJ70" s="520" t="e">
        <f>MAX(0,ROUND(Volumes!CP41*CPCTd32,0))</f>
        <v>#N/A</v>
      </c>
      <c r="AK70" s="520" t="e">
        <f>MAX(0,ROUND(Volumes!CQ41*CPRVd32,0))</f>
        <v>#N/A</v>
      </c>
      <c r="AL70" s="517" t="e">
        <f t="shared" si="65"/>
        <v>#N/A</v>
      </c>
    </row>
    <row r="71" spans="2:38" x14ac:dyDescent="0.25">
      <c r="B71" s="152">
        <f t="shared" si="66"/>
        <v>0.20833333333333331</v>
      </c>
      <c r="C71" s="177" t="str">
        <f t="shared" si="54"/>
        <v>YES</v>
      </c>
      <c r="D71" s="522" t="e">
        <f t="shared" si="55"/>
        <v>#N/A</v>
      </c>
      <c r="E71" s="517" t="e">
        <f t="shared" si="56"/>
        <v>#N/A</v>
      </c>
      <c r="F71" s="517" t="e">
        <f t="shared" si="57"/>
        <v>#N/A</v>
      </c>
      <c r="G71" s="523" t="e">
        <f t="shared" si="58"/>
        <v>#N/A</v>
      </c>
      <c r="H71" s="518" t="e">
        <f t="shared" si="59"/>
        <v>#N/A</v>
      </c>
      <c r="I71" s="516" t="e">
        <f>MAX(0,ROUND(Volumes!BV42*CPPCwz2,0))</f>
        <v>#N/A</v>
      </c>
      <c r="J71" s="517" t="e">
        <f>MAX(0,ROUND(Volumes!BW42*CPSUwz2,0))</f>
        <v>#N/A</v>
      </c>
      <c r="K71" s="517" t="e">
        <f>MAX(0,ROUND(Volumes!BX42*CPCTwz2,0))</f>
        <v>#N/A</v>
      </c>
      <c r="L71" s="517" t="e">
        <f>MAX(0,ROUND(Volumes!BY42*CPRVwz2,0))</f>
        <v>#N/A</v>
      </c>
      <c r="M71" s="518" t="e">
        <f t="shared" si="60"/>
        <v>#N/A</v>
      </c>
      <c r="N71" s="519" t="e">
        <f>MAX(0,ROUND((Queuing!Q48/60)*CPPCq2,0))</f>
        <v>#N/A</v>
      </c>
      <c r="O71" s="520" t="e">
        <f>MAX(0,ROUND((Queuing!R48/60)*CPSUq2,0))</f>
        <v>#N/A</v>
      </c>
      <c r="P71" s="520" t="e">
        <f>MAX(0,ROUND((Queuing!S48/60)*CPCTq2,0))</f>
        <v>#N/A</v>
      </c>
      <c r="Q71" s="520" t="e">
        <f>MAX(0,ROUND((Queuing!T48/60)*CPRVq2,0))</f>
        <v>#N/A</v>
      </c>
      <c r="R71" s="518" t="e">
        <f t="shared" si="61"/>
        <v>#N/A</v>
      </c>
      <c r="S71" s="519" t="e">
        <f>MAX(0,ROUND(Volumes!BV42*CPPCf2,0))</f>
        <v>#N/A</v>
      </c>
      <c r="T71" s="520" t="e">
        <f>MAX(0,ROUND(Volumes!BW42*CPSUf2,0))</f>
        <v>#N/A</v>
      </c>
      <c r="U71" s="520" t="e">
        <f>MAX(0,ROUND(Volumes!BX42*CPCTf2,0))</f>
        <v>#N/A</v>
      </c>
      <c r="V71" s="520" t="e">
        <f>MAX(0,ROUND(Volumes!BY42*CPRVf2,0))</f>
        <v>#N/A</v>
      </c>
      <c r="W71" s="518" t="e">
        <f t="shared" si="62"/>
        <v>#N/A</v>
      </c>
      <c r="X71" s="519" t="e">
        <f>MAX(0,ROUND(Volumes!CB42*CPPCd12,0))</f>
        <v>#N/A</v>
      </c>
      <c r="Y71" s="520" t="e">
        <f>MAX(0,ROUND(Volumes!CC42*CPSUd12,0))</f>
        <v>#N/A</v>
      </c>
      <c r="Z71" s="520" t="e">
        <f>MAX(0,ROUND(Volumes!CD42*CPCTd12,0))</f>
        <v>#N/A</v>
      </c>
      <c r="AA71" s="520" t="e">
        <f>MAX(0,ROUND(Volumes!CE42*CPRVd12,0))</f>
        <v>#N/A</v>
      </c>
      <c r="AB71" s="518" t="e">
        <f t="shared" si="63"/>
        <v>#N/A</v>
      </c>
      <c r="AC71" s="519" t="e">
        <f>MAX(0,ROUND(Volumes!CH42*CPPCd22,0))</f>
        <v>#N/A</v>
      </c>
      <c r="AD71" s="520" t="e">
        <f>MAX(0,ROUND(Volumes!CI42*CPSUd22,0))</f>
        <v>#N/A</v>
      </c>
      <c r="AE71" s="520" t="e">
        <f>MAX(0,ROUND(Volumes!CJ42*CPCTd22,0))</f>
        <v>#N/A</v>
      </c>
      <c r="AF71" s="520" t="e">
        <f>MAX(0,ROUND(Volumes!CK42*CPRVd22,0))</f>
        <v>#N/A</v>
      </c>
      <c r="AG71" s="518" t="e">
        <f t="shared" si="64"/>
        <v>#N/A</v>
      </c>
      <c r="AH71" s="521" t="e">
        <f>MAX(0,ROUND(Volumes!CN42*CPPCd32,0))</f>
        <v>#N/A</v>
      </c>
      <c r="AI71" s="520" t="e">
        <f>MAX(0,ROUND(Volumes!CO42*CPSUd32,0))</f>
        <v>#N/A</v>
      </c>
      <c r="AJ71" s="520" t="e">
        <f>MAX(0,ROUND(Volumes!CP42*CPCTd32,0))</f>
        <v>#N/A</v>
      </c>
      <c r="AK71" s="520" t="e">
        <f>MAX(0,ROUND(Volumes!CQ42*CPRVd32,0))</f>
        <v>#N/A</v>
      </c>
      <c r="AL71" s="517" t="e">
        <f t="shared" si="65"/>
        <v>#N/A</v>
      </c>
    </row>
    <row r="72" spans="2:38" x14ac:dyDescent="0.25">
      <c r="B72" s="152">
        <f t="shared" si="66"/>
        <v>0.24999999999999997</v>
      </c>
      <c r="C72" s="177" t="str">
        <f t="shared" si="54"/>
        <v>YES</v>
      </c>
      <c r="D72" s="522" t="e">
        <f t="shared" si="55"/>
        <v>#N/A</v>
      </c>
      <c r="E72" s="517" t="e">
        <f t="shared" si="56"/>
        <v>#N/A</v>
      </c>
      <c r="F72" s="517" t="e">
        <f t="shared" si="57"/>
        <v>#N/A</v>
      </c>
      <c r="G72" s="523" t="e">
        <f t="shared" si="58"/>
        <v>#N/A</v>
      </c>
      <c r="H72" s="518" t="e">
        <f t="shared" si="59"/>
        <v>#N/A</v>
      </c>
      <c r="I72" s="516" t="e">
        <f>MAX(0,ROUND(Volumes!BV43*CPPCwz2,0))</f>
        <v>#N/A</v>
      </c>
      <c r="J72" s="517" t="e">
        <f>MAX(0,ROUND(Volumes!BW43*CPSUwz2,0))</f>
        <v>#N/A</v>
      </c>
      <c r="K72" s="517" t="e">
        <f>MAX(0,ROUND(Volumes!BX43*CPCTwz2,0))</f>
        <v>#N/A</v>
      </c>
      <c r="L72" s="517" t="e">
        <f>MAX(0,ROUND(Volumes!BY43*CPRVwz2,0))</f>
        <v>#N/A</v>
      </c>
      <c r="M72" s="518" t="e">
        <f t="shared" si="60"/>
        <v>#N/A</v>
      </c>
      <c r="N72" s="519" t="e">
        <f>MAX(0,ROUND((Queuing!Q49/60)*CPPCq2,0))</f>
        <v>#N/A</v>
      </c>
      <c r="O72" s="520" t="e">
        <f>MAX(0,ROUND((Queuing!R49/60)*CPSUq2,0))</f>
        <v>#N/A</v>
      </c>
      <c r="P72" s="520" t="e">
        <f>MAX(0,ROUND((Queuing!S49/60)*CPCTq2,0))</f>
        <v>#N/A</v>
      </c>
      <c r="Q72" s="520" t="e">
        <f>MAX(0,ROUND((Queuing!T49/60)*CPRVq2,0))</f>
        <v>#N/A</v>
      </c>
      <c r="R72" s="518" t="e">
        <f t="shared" si="61"/>
        <v>#N/A</v>
      </c>
      <c r="S72" s="519" t="e">
        <f>MAX(0,ROUND(Volumes!BV43*CPPCf2,0))</f>
        <v>#N/A</v>
      </c>
      <c r="T72" s="520" t="e">
        <f>MAX(0,ROUND(Volumes!BW43*CPSUf2,0))</f>
        <v>#N/A</v>
      </c>
      <c r="U72" s="520" t="e">
        <f>MAX(0,ROUND(Volumes!BX43*CPCTf2,0))</f>
        <v>#N/A</v>
      </c>
      <c r="V72" s="520" t="e">
        <f>MAX(0,ROUND(Volumes!BY43*CPRVf2,0))</f>
        <v>#N/A</v>
      </c>
      <c r="W72" s="518" t="e">
        <f t="shared" si="62"/>
        <v>#N/A</v>
      </c>
      <c r="X72" s="519" t="e">
        <f>MAX(0,ROUND(Volumes!CB43*CPPCd12,0))</f>
        <v>#N/A</v>
      </c>
      <c r="Y72" s="520" t="e">
        <f>MAX(0,ROUND(Volumes!CC43*CPSUd12,0))</f>
        <v>#N/A</v>
      </c>
      <c r="Z72" s="520" t="e">
        <f>MAX(0,ROUND(Volumes!CD43*CPCTd12,0))</f>
        <v>#N/A</v>
      </c>
      <c r="AA72" s="520" t="e">
        <f>MAX(0,ROUND(Volumes!CE43*CPRVd12,0))</f>
        <v>#N/A</v>
      </c>
      <c r="AB72" s="518" t="e">
        <f t="shared" si="63"/>
        <v>#N/A</v>
      </c>
      <c r="AC72" s="519" t="e">
        <f>MAX(0,ROUND(Volumes!CH43*CPPCd22,0))</f>
        <v>#N/A</v>
      </c>
      <c r="AD72" s="520" t="e">
        <f>MAX(0,ROUND(Volumes!CI43*CPSUd22,0))</f>
        <v>#N/A</v>
      </c>
      <c r="AE72" s="520" t="e">
        <f>MAX(0,ROUND(Volumes!CJ43*CPCTd22,0))</f>
        <v>#N/A</v>
      </c>
      <c r="AF72" s="520" t="e">
        <f>MAX(0,ROUND(Volumes!CK43*CPRVd22,0))</f>
        <v>#N/A</v>
      </c>
      <c r="AG72" s="518" t="e">
        <f t="shared" si="64"/>
        <v>#N/A</v>
      </c>
      <c r="AH72" s="521" t="e">
        <f>MAX(0,ROUND(Volumes!CN43*CPPCd32,0))</f>
        <v>#N/A</v>
      </c>
      <c r="AI72" s="520" t="e">
        <f>MAX(0,ROUND(Volumes!CO43*CPSUd32,0))</f>
        <v>#N/A</v>
      </c>
      <c r="AJ72" s="520" t="e">
        <f>MAX(0,ROUND(Volumes!CP43*CPCTd32,0))</f>
        <v>#N/A</v>
      </c>
      <c r="AK72" s="520" t="e">
        <f>MAX(0,ROUND(Volumes!CQ43*CPRVd32,0))</f>
        <v>#N/A</v>
      </c>
      <c r="AL72" s="517" t="e">
        <f t="shared" si="65"/>
        <v>#N/A</v>
      </c>
    </row>
    <row r="73" spans="2:38" x14ac:dyDescent="0.25">
      <c r="B73" s="152">
        <f t="shared" si="66"/>
        <v>0.29166666666666663</v>
      </c>
      <c r="C73" s="177" t="str">
        <f t="shared" si="54"/>
        <v>YES</v>
      </c>
      <c r="D73" s="522" t="e">
        <f t="shared" si="55"/>
        <v>#N/A</v>
      </c>
      <c r="E73" s="517" t="e">
        <f t="shared" si="56"/>
        <v>#N/A</v>
      </c>
      <c r="F73" s="517" t="e">
        <f t="shared" si="57"/>
        <v>#N/A</v>
      </c>
      <c r="G73" s="523" t="e">
        <f t="shared" si="58"/>
        <v>#N/A</v>
      </c>
      <c r="H73" s="518" t="e">
        <f t="shared" si="59"/>
        <v>#N/A</v>
      </c>
      <c r="I73" s="516" t="e">
        <f>MAX(0,ROUND(Volumes!BV44*CPPCwz2,0))</f>
        <v>#N/A</v>
      </c>
      <c r="J73" s="517" t="e">
        <f>MAX(0,ROUND(Volumes!BW44*CPSUwz2,0))</f>
        <v>#N/A</v>
      </c>
      <c r="K73" s="517" t="e">
        <f>MAX(0,ROUND(Volumes!BX44*CPCTwz2,0))</f>
        <v>#N/A</v>
      </c>
      <c r="L73" s="517" t="e">
        <f>MAX(0,ROUND(Volumes!BY44*CPRVwz2,0))</f>
        <v>#N/A</v>
      </c>
      <c r="M73" s="518" t="e">
        <f t="shared" si="60"/>
        <v>#N/A</v>
      </c>
      <c r="N73" s="519" t="e">
        <f>MAX(0,ROUND((Queuing!Q50/60)*CPPCq2,0))</f>
        <v>#N/A</v>
      </c>
      <c r="O73" s="520" t="e">
        <f>MAX(0,ROUND((Queuing!R50/60)*CPSUq2,0))</f>
        <v>#N/A</v>
      </c>
      <c r="P73" s="520" t="e">
        <f>MAX(0,ROUND((Queuing!S50/60)*CPCTq2,0))</f>
        <v>#N/A</v>
      </c>
      <c r="Q73" s="520" t="e">
        <f>MAX(0,ROUND((Queuing!T50/60)*CPRVq2,0))</f>
        <v>#N/A</v>
      </c>
      <c r="R73" s="518" t="e">
        <f t="shared" si="61"/>
        <v>#N/A</v>
      </c>
      <c r="S73" s="519" t="e">
        <f>MAX(0,ROUND(Volumes!BV44*CPPCf2,0))</f>
        <v>#N/A</v>
      </c>
      <c r="T73" s="520" t="e">
        <f>MAX(0,ROUND(Volumes!BW44*CPSUf2,0))</f>
        <v>#N/A</v>
      </c>
      <c r="U73" s="520" t="e">
        <f>MAX(0,ROUND(Volumes!BX44*CPCTf2,0))</f>
        <v>#N/A</v>
      </c>
      <c r="V73" s="520" t="e">
        <f>MAX(0,ROUND(Volumes!BY44*CPRVf2,0))</f>
        <v>#N/A</v>
      </c>
      <c r="W73" s="518" t="e">
        <f t="shared" si="62"/>
        <v>#N/A</v>
      </c>
      <c r="X73" s="519" t="e">
        <f>MAX(0,ROUND(Volumes!CB44*CPPCd12,0))</f>
        <v>#N/A</v>
      </c>
      <c r="Y73" s="520" t="e">
        <f>MAX(0,ROUND(Volumes!CC44*CPSUd12,0))</f>
        <v>#N/A</v>
      </c>
      <c r="Z73" s="520" t="e">
        <f>MAX(0,ROUND(Volumes!CD44*CPCTd12,0))</f>
        <v>#N/A</v>
      </c>
      <c r="AA73" s="520" t="e">
        <f>MAX(0,ROUND(Volumes!CE44*CPRVd12,0))</f>
        <v>#N/A</v>
      </c>
      <c r="AB73" s="518" t="e">
        <f t="shared" si="63"/>
        <v>#N/A</v>
      </c>
      <c r="AC73" s="519" t="e">
        <f>MAX(0,ROUND(Volumes!CH44*CPPCd22,0))</f>
        <v>#N/A</v>
      </c>
      <c r="AD73" s="520" t="e">
        <f>MAX(0,ROUND(Volumes!CI44*CPSUd22,0))</f>
        <v>#N/A</v>
      </c>
      <c r="AE73" s="520" t="e">
        <f>MAX(0,ROUND(Volumes!CJ44*CPCTd22,0))</f>
        <v>#N/A</v>
      </c>
      <c r="AF73" s="520" t="e">
        <f>MAX(0,ROUND(Volumes!CK44*CPRVd22,0))</f>
        <v>#N/A</v>
      </c>
      <c r="AG73" s="518" t="e">
        <f t="shared" si="64"/>
        <v>#N/A</v>
      </c>
      <c r="AH73" s="521" t="e">
        <f>MAX(0,ROUND(Volumes!CN44*CPPCd32,0))</f>
        <v>#N/A</v>
      </c>
      <c r="AI73" s="520" t="e">
        <f>MAX(0,ROUND(Volumes!CO44*CPSUd32,0))</f>
        <v>#N/A</v>
      </c>
      <c r="AJ73" s="520" t="e">
        <f>MAX(0,ROUND(Volumes!CP44*CPCTd32,0))</f>
        <v>#N/A</v>
      </c>
      <c r="AK73" s="520" t="e">
        <f>MAX(0,ROUND(Volumes!CQ44*CPRVd32,0))</f>
        <v>#N/A</v>
      </c>
      <c r="AL73" s="517" t="e">
        <f t="shared" si="65"/>
        <v>#N/A</v>
      </c>
    </row>
    <row r="74" spans="2:38" x14ac:dyDescent="0.25">
      <c r="B74" s="152">
        <f t="shared" si="66"/>
        <v>0.33333333333333331</v>
      </c>
      <c r="C74" s="177" t="str">
        <f t="shared" si="54"/>
        <v>YES</v>
      </c>
      <c r="D74" s="522" t="e">
        <f t="shared" si="55"/>
        <v>#N/A</v>
      </c>
      <c r="E74" s="517" t="e">
        <f t="shared" si="56"/>
        <v>#N/A</v>
      </c>
      <c r="F74" s="517" t="e">
        <f t="shared" si="57"/>
        <v>#N/A</v>
      </c>
      <c r="G74" s="523" t="e">
        <f t="shared" si="58"/>
        <v>#N/A</v>
      </c>
      <c r="H74" s="518" t="e">
        <f t="shared" si="59"/>
        <v>#N/A</v>
      </c>
      <c r="I74" s="516" t="e">
        <f>MAX(0,ROUND(Volumes!BV45*CPPCwz2,0))</f>
        <v>#N/A</v>
      </c>
      <c r="J74" s="517" t="e">
        <f>MAX(0,ROUND(Volumes!BW45*CPSUwz2,0))</f>
        <v>#N/A</v>
      </c>
      <c r="K74" s="517" t="e">
        <f>MAX(0,ROUND(Volumes!BX45*CPCTwz2,0))</f>
        <v>#N/A</v>
      </c>
      <c r="L74" s="517" t="e">
        <f>MAX(0,ROUND(Volumes!BY45*CPRVwz2,0))</f>
        <v>#N/A</v>
      </c>
      <c r="M74" s="518" t="e">
        <f t="shared" si="60"/>
        <v>#N/A</v>
      </c>
      <c r="N74" s="519" t="e">
        <f>MAX(0,ROUND((Queuing!Q51/60)*CPPCq2,0))</f>
        <v>#N/A</v>
      </c>
      <c r="O74" s="520" t="e">
        <f>MAX(0,ROUND((Queuing!R51/60)*CPSUq2,0))</f>
        <v>#N/A</v>
      </c>
      <c r="P74" s="520" t="e">
        <f>MAX(0,ROUND((Queuing!S51/60)*CPCTq2,0))</f>
        <v>#N/A</v>
      </c>
      <c r="Q74" s="520" t="e">
        <f>MAX(0,ROUND((Queuing!T51/60)*CPRVq2,0))</f>
        <v>#N/A</v>
      </c>
      <c r="R74" s="518" t="e">
        <f t="shared" si="61"/>
        <v>#N/A</v>
      </c>
      <c r="S74" s="519" t="e">
        <f>MAX(0,ROUND(Volumes!BV45*CPPCf2,0))</f>
        <v>#N/A</v>
      </c>
      <c r="T74" s="520" t="e">
        <f>MAX(0,ROUND(Volumes!BW45*CPSUf2,0))</f>
        <v>#N/A</v>
      </c>
      <c r="U74" s="520" t="e">
        <f>MAX(0,ROUND(Volumes!BX45*CPCTf2,0))</f>
        <v>#N/A</v>
      </c>
      <c r="V74" s="520" t="e">
        <f>MAX(0,ROUND(Volumes!BY45*CPRVf2,0))</f>
        <v>#N/A</v>
      </c>
      <c r="W74" s="518" t="e">
        <f t="shared" si="62"/>
        <v>#N/A</v>
      </c>
      <c r="X74" s="519" t="e">
        <f>MAX(0,ROUND(Volumes!CB45*CPPCd12,0))</f>
        <v>#N/A</v>
      </c>
      <c r="Y74" s="520" t="e">
        <f>MAX(0,ROUND(Volumes!CC45*CPSUd12,0))</f>
        <v>#N/A</v>
      </c>
      <c r="Z74" s="520" t="e">
        <f>MAX(0,ROUND(Volumes!CD45*CPCTd12,0))</f>
        <v>#N/A</v>
      </c>
      <c r="AA74" s="520" t="e">
        <f>MAX(0,ROUND(Volumes!CE45*CPRVd12,0))</f>
        <v>#N/A</v>
      </c>
      <c r="AB74" s="518" t="e">
        <f t="shared" si="63"/>
        <v>#N/A</v>
      </c>
      <c r="AC74" s="519" t="e">
        <f>MAX(0,ROUND(Volumes!CH45*CPPCd22,0))</f>
        <v>#N/A</v>
      </c>
      <c r="AD74" s="520" t="e">
        <f>MAX(0,ROUND(Volumes!CI45*CPSUd22,0))</f>
        <v>#N/A</v>
      </c>
      <c r="AE74" s="520" t="e">
        <f>MAX(0,ROUND(Volumes!CJ45*CPCTd22,0))</f>
        <v>#N/A</v>
      </c>
      <c r="AF74" s="520" t="e">
        <f>MAX(0,ROUND(Volumes!CK45*CPRVd22,0))</f>
        <v>#N/A</v>
      </c>
      <c r="AG74" s="518" t="e">
        <f t="shared" si="64"/>
        <v>#N/A</v>
      </c>
      <c r="AH74" s="521" t="e">
        <f>MAX(0,ROUND(Volumes!CN45*CPPCd32,0))</f>
        <v>#N/A</v>
      </c>
      <c r="AI74" s="520" t="e">
        <f>MAX(0,ROUND(Volumes!CO45*CPSUd32,0))</f>
        <v>#N/A</v>
      </c>
      <c r="AJ74" s="520" t="e">
        <f>MAX(0,ROUND(Volumes!CP45*CPCTd32,0))</f>
        <v>#N/A</v>
      </c>
      <c r="AK74" s="520" t="e">
        <f>MAX(0,ROUND(Volumes!CQ45*CPRVd32,0))</f>
        <v>#N/A</v>
      </c>
      <c r="AL74" s="517" t="e">
        <f t="shared" si="65"/>
        <v>#N/A</v>
      </c>
    </row>
    <row r="75" spans="2:38" x14ac:dyDescent="0.25">
      <c r="B75" s="152">
        <f t="shared" si="66"/>
        <v>0.375</v>
      </c>
      <c r="C75" s="177" t="str">
        <f t="shared" si="54"/>
        <v>YES</v>
      </c>
      <c r="D75" s="522" t="e">
        <f t="shared" si="55"/>
        <v>#N/A</v>
      </c>
      <c r="E75" s="517" t="e">
        <f t="shared" si="56"/>
        <v>#N/A</v>
      </c>
      <c r="F75" s="517" t="e">
        <f t="shared" si="57"/>
        <v>#N/A</v>
      </c>
      <c r="G75" s="523" t="e">
        <f t="shared" si="58"/>
        <v>#N/A</v>
      </c>
      <c r="H75" s="518" t="e">
        <f t="shared" si="59"/>
        <v>#N/A</v>
      </c>
      <c r="I75" s="516" t="e">
        <f>MAX(0,ROUND(Volumes!BV46*CPPCwz2,0))</f>
        <v>#N/A</v>
      </c>
      <c r="J75" s="517" t="e">
        <f>MAX(0,ROUND(Volumes!BW46*CPSUwz2,0))</f>
        <v>#N/A</v>
      </c>
      <c r="K75" s="517" t="e">
        <f>MAX(0,ROUND(Volumes!BX46*CPCTwz2,0))</f>
        <v>#N/A</v>
      </c>
      <c r="L75" s="517" t="e">
        <f>MAX(0,ROUND(Volumes!BY46*CPRVwz2,0))</f>
        <v>#N/A</v>
      </c>
      <c r="M75" s="518" t="e">
        <f t="shared" si="60"/>
        <v>#N/A</v>
      </c>
      <c r="N75" s="519" t="e">
        <f>MAX(0,ROUND((Queuing!Q52/60)*CPPCq2,0))</f>
        <v>#N/A</v>
      </c>
      <c r="O75" s="520" t="e">
        <f>MAX(0,ROUND((Queuing!R52/60)*CPSUq2,0))</f>
        <v>#N/A</v>
      </c>
      <c r="P75" s="520" t="e">
        <f>MAX(0,ROUND((Queuing!S52/60)*CPCTq2,0))</f>
        <v>#N/A</v>
      </c>
      <c r="Q75" s="520" t="e">
        <f>MAX(0,ROUND((Queuing!T52/60)*CPRVq2,0))</f>
        <v>#N/A</v>
      </c>
      <c r="R75" s="518" t="e">
        <f t="shared" si="61"/>
        <v>#N/A</v>
      </c>
      <c r="S75" s="519" t="e">
        <f>MAX(0,ROUND(Volumes!BV46*CPPCf2,0))</f>
        <v>#N/A</v>
      </c>
      <c r="T75" s="520" t="e">
        <f>MAX(0,ROUND(Volumes!BW46*CPSUf2,0))</f>
        <v>#N/A</v>
      </c>
      <c r="U75" s="520" t="e">
        <f>MAX(0,ROUND(Volumes!BX46*CPCTf2,0))</f>
        <v>#N/A</v>
      </c>
      <c r="V75" s="520" t="e">
        <f>MAX(0,ROUND(Volumes!BY46*CPRVf2,0))</f>
        <v>#N/A</v>
      </c>
      <c r="W75" s="518" t="e">
        <f t="shared" si="62"/>
        <v>#N/A</v>
      </c>
      <c r="X75" s="519" t="e">
        <f>MAX(0,ROUND(Volumes!CB46*CPPCd12,0))</f>
        <v>#N/A</v>
      </c>
      <c r="Y75" s="520" t="e">
        <f>MAX(0,ROUND(Volumes!CC46*CPSUd12,0))</f>
        <v>#N/A</v>
      </c>
      <c r="Z75" s="520" t="e">
        <f>MAX(0,ROUND(Volumes!CD46*CPCTd12,0))</f>
        <v>#N/A</v>
      </c>
      <c r="AA75" s="520" t="e">
        <f>MAX(0,ROUND(Volumes!CE46*CPRVd12,0))</f>
        <v>#N/A</v>
      </c>
      <c r="AB75" s="518" t="e">
        <f t="shared" si="63"/>
        <v>#N/A</v>
      </c>
      <c r="AC75" s="519" t="e">
        <f>MAX(0,ROUND(Volumes!CH46*CPPCd22,0))</f>
        <v>#N/A</v>
      </c>
      <c r="AD75" s="520" t="e">
        <f>MAX(0,ROUND(Volumes!CI46*CPSUd22,0))</f>
        <v>#N/A</v>
      </c>
      <c r="AE75" s="520" t="e">
        <f>MAX(0,ROUND(Volumes!CJ46*CPCTd22,0))</f>
        <v>#N/A</v>
      </c>
      <c r="AF75" s="520" t="e">
        <f>MAX(0,ROUND(Volumes!CK46*CPRVd22,0))</f>
        <v>#N/A</v>
      </c>
      <c r="AG75" s="518" t="e">
        <f t="shared" si="64"/>
        <v>#N/A</v>
      </c>
      <c r="AH75" s="521" t="e">
        <f>MAX(0,ROUND(Volumes!CN46*CPPCd32,0))</f>
        <v>#N/A</v>
      </c>
      <c r="AI75" s="520" t="e">
        <f>MAX(0,ROUND(Volumes!CO46*CPSUd32,0))</f>
        <v>#N/A</v>
      </c>
      <c r="AJ75" s="520" t="e">
        <f>MAX(0,ROUND(Volumes!CP46*CPCTd32,0))</f>
        <v>#N/A</v>
      </c>
      <c r="AK75" s="520" t="e">
        <f>MAX(0,ROUND(Volumes!CQ46*CPRVd32,0))</f>
        <v>#N/A</v>
      </c>
      <c r="AL75" s="517" t="e">
        <f t="shared" si="65"/>
        <v>#N/A</v>
      </c>
    </row>
    <row r="76" spans="2:38" x14ac:dyDescent="0.25">
      <c r="B76" s="152">
        <f t="shared" si="66"/>
        <v>0.41666666666666669</v>
      </c>
      <c r="C76" s="177" t="str">
        <f t="shared" si="54"/>
        <v>YES</v>
      </c>
      <c r="D76" s="522" t="e">
        <f t="shared" si="55"/>
        <v>#N/A</v>
      </c>
      <c r="E76" s="517" t="e">
        <f t="shared" si="56"/>
        <v>#N/A</v>
      </c>
      <c r="F76" s="517" t="e">
        <f t="shared" si="57"/>
        <v>#N/A</v>
      </c>
      <c r="G76" s="523" t="e">
        <f t="shared" si="58"/>
        <v>#N/A</v>
      </c>
      <c r="H76" s="518" t="e">
        <f t="shared" si="59"/>
        <v>#N/A</v>
      </c>
      <c r="I76" s="516" t="e">
        <f>MAX(0,ROUND(Volumes!BV47*CPPCwz2,0))</f>
        <v>#N/A</v>
      </c>
      <c r="J76" s="517" t="e">
        <f>MAX(0,ROUND(Volumes!BW47*CPSUwz2,0))</f>
        <v>#N/A</v>
      </c>
      <c r="K76" s="517" t="e">
        <f>MAX(0,ROUND(Volumes!BX47*CPCTwz2,0))</f>
        <v>#N/A</v>
      </c>
      <c r="L76" s="517" t="e">
        <f>MAX(0,ROUND(Volumes!BY47*CPRVwz2,0))</f>
        <v>#N/A</v>
      </c>
      <c r="M76" s="518" t="e">
        <f t="shared" si="60"/>
        <v>#N/A</v>
      </c>
      <c r="N76" s="519" t="e">
        <f>MAX(0,ROUND((Queuing!Q53/60)*CPPCq2,0))</f>
        <v>#N/A</v>
      </c>
      <c r="O76" s="520" t="e">
        <f>MAX(0,ROUND((Queuing!R53/60)*CPSUq2,0))</f>
        <v>#N/A</v>
      </c>
      <c r="P76" s="520" t="e">
        <f>MAX(0,ROUND((Queuing!S53/60)*CPCTq2,0))</f>
        <v>#N/A</v>
      </c>
      <c r="Q76" s="520" t="e">
        <f>MAX(0,ROUND((Queuing!T53/60)*CPRVq2,0))</f>
        <v>#N/A</v>
      </c>
      <c r="R76" s="518" t="e">
        <f t="shared" si="61"/>
        <v>#N/A</v>
      </c>
      <c r="S76" s="519" t="e">
        <f>MAX(0,ROUND(Volumes!BV47*CPPCf2,0))</f>
        <v>#N/A</v>
      </c>
      <c r="T76" s="520" t="e">
        <f>MAX(0,ROUND(Volumes!BW47*CPSUf2,0))</f>
        <v>#N/A</v>
      </c>
      <c r="U76" s="520" t="e">
        <f>MAX(0,ROUND(Volumes!BX47*CPCTf2,0))</f>
        <v>#N/A</v>
      </c>
      <c r="V76" s="520" t="e">
        <f>MAX(0,ROUND(Volumes!BY47*CPRVf2,0))</f>
        <v>#N/A</v>
      </c>
      <c r="W76" s="518" t="e">
        <f t="shared" si="62"/>
        <v>#N/A</v>
      </c>
      <c r="X76" s="519" t="e">
        <f>MAX(0,ROUND(Volumes!CB47*CPPCd12,0))</f>
        <v>#N/A</v>
      </c>
      <c r="Y76" s="520" t="e">
        <f>MAX(0,ROUND(Volumes!CC47*CPSUd12,0))</f>
        <v>#N/A</v>
      </c>
      <c r="Z76" s="520" t="e">
        <f>MAX(0,ROUND(Volumes!CD47*CPCTd12,0))</f>
        <v>#N/A</v>
      </c>
      <c r="AA76" s="520" t="e">
        <f>MAX(0,ROUND(Volumes!CE47*CPRVd12,0))</f>
        <v>#N/A</v>
      </c>
      <c r="AB76" s="518" t="e">
        <f t="shared" si="63"/>
        <v>#N/A</v>
      </c>
      <c r="AC76" s="519" t="e">
        <f>MAX(0,ROUND(Volumes!CH47*CPPCd22,0))</f>
        <v>#N/A</v>
      </c>
      <c r="AD76" s="520" t="e">
        <f>MAX(0,ROUND(Volumes!CI47*CPSUd22,0))</f>
        <v>#N/A</v>
      </c>
      <c r="AE76" s="520" t="e">
        <f>MAX(0,ROUND(Volumes!CJ47*CPCTd22,0))</f>
        <v>#N/A</v>
      </c>
      <c r="AF76" s="520" t="e">
        <f>MAX(0,ROUND(Volumes!CK47*CPRVd22,0))</f>
        <v>#N/A</v>
      </c>
      <c r="AG76" s="518" t="e">
        <f t="shared" si="64"/>
        <v>#N/A</v>
      </c>
      <c r="AH76" s="521" t="e">
        <f>MAX(0,ROUND(Volumes!CN47*CPPCd32,0))</f>
        <v>#N/A</v>
      </c>
      <c r="AI76" s="520" t="e">
        <f>MAX(0,ROUND(Volumes!CO47*CPSUd32,0))</f>
        <v>#N/A</v>
      </c>
      <c r="AJ76" s="520" t="e">
        <f>MAX(0,ROUND(Volumes!CP47*CPCTd32,0))</f>
        <v>#N/A</v>
      </c>
      <c r="AK76" s="520" t="e">
        <f>MAX(0,ROUND(Volumes!CQ47*CPRVd32,0))</f>
        <v>#N/A</v>
      </c>
      <c r="AL76" s="517" t="e">
        <f t="shared" si="65"/>
        <v>#N/A</v>
      </c>
    </row>
    <row r="77" spans="2:38" x14ac:dyDescent="0.25">
      <c r="B77" s="152">
        <f t="shared" si="66"/>
        <v>0.45833333333333337</v>
      </c>
      <c r="C77" s="177" t="str">
        <f t="shared" si="54"/>
        <v>YES</v>
      </c>
      <c r="D77" s="522" t="e">
        <f t="shared" si="55"/>
        <v>#N/A</v>
      </c>
      <c r="E77" s="517" t="e">
        <f t="shared" si="56"/>
        <v>#N/A</v>
      </c>
      <c r="F77" s="517" t="e">
        <f t="shared" si="57"/>
        <v>#N/A</v>
      </c>
      <c r="G77" s="523" t="e">
        <f t="shared" si="58"/>
        <v>#N/A</v>
      </c>
      <c r="H77" s="518" t="e">
        <f t="shared" si="59"/>
        <v>#N/A</v>
      </c>
      <c r="I77" s="516" t="e">
        <f>MAX(0,ROUND(Volumes!BV48*CPPCwz2,0))</f>
        <v>#N/A</v>
      </c>
      <c r="J77" s="517" t="e">
        <f>MAX(0,ROUND(Volumes!BW48*CPSUwz2,0))</f>
        <v>#N/A</v>
      </c>
      <c r="K77" s="517" t="e">
        <f>MAX(0,ROUND(Volumes!BX48*CPCTwz2,0))</f>
        <v>#N/A</v>
      </c>
      <c r="L77" s="517" t="e">
        <f>MAX(0,ROUND(Volumes!BY48*CPRVwz2,0))</f>
        <v>#N/A</v>
      </c>
      <c r="M77" s="518" t="e">
        <f t="shared" si="60"/>
        <v>#N/A</v>
      </c>
      <c r="N77" s="519" t="e">
        <f>MAX(0,ROUND((Queuing!Q54/60)*CPPCq2,0))</f>
        <v>#N/A</v>
      </c>
      <c r="O77" s="520" t="e">
        <f>MAX(0,ROUND((Queuing!R54/60)*CPSUq2,0))</f>
        <v>#N/A</v>
      </c>
      <c r="P77" s="520" t="e">
        <f>MAX(0,ROUND((Queuing!S54/60)*CPCTq2,0))</f>
        <v>#N/A</v>
      </c>
      <c r="Q77" s="520" t="e">
        <f>MAX(0,ROUND((Queuing!T54/60)*CPRVq2,0))</f>
        <v>#N/A</v>
      </c>
      <c r="R77" s="518" t="e">
        <f t="shared" si="61"/>
        <v>#N/A</v>
      </c>
      <c r="S77" s="519" t="e">
        <f>MAX(0,ROUND(Volumes!BV48*CPPCf2,0))</f>
        <v>#N/A</v>
      </c>
      <c r="T77" s="520" t="e">
        <f>MAX(0,ROUND(Volumes!BW48*CPSUf2,0))</f>
        <v>#N/A</v>
      </c>
      <c r="U77" s="520" t="e">
        <f>MAX(0,ROUND(Volumes!BX48*CPCTf2,0))</f>
        <v>#N/A</v>
      </c>
      <c r="V77" s="520" t="e">
        <f>MAX(0,ROUND(Volumes!BY48*CPRVf2,0))</f>
        <v>#N/A</v>
      </c>
      <c r="W77" s="518" t="e">
        <f t="shared" si="62"/>
        <v>#N/A</v>
      </c>
      <c r="X77" s="519" t="e">
        <f>MAX(0,ROUND(Volumes!CB48*CPPCd12,0))</f>
        <v>#N/A</v>
      </c>
      <c r="Y77" s="520" t="e">
        <f>MAX(0,ROUND(Volumes!CC48*CPSUd12,0))</f>
        <v>#N/A</v>
      </c>
      <c r="Z77" s="520" t="e">
        <f>MAX(0,ROUND(Volumes!CD48*CPCTd12,0))</f>
        <v>#N/A</v>
      </c>
      <c r="AA77" s="520" t="e">
        <f>MAX(0,ROUND(Volumes!CE48*CPRVd12,0))</f>
        <v>#N/A</v>
      </c>
      <c r="AB77" s="518" t="e">
        <f t="shared" si="63"/>
        <v>#N/A</v>
      </c>
      <c r="AC77" s="519" t="e">
        <f>MAX(0,ROUND(Volumes!CH48*CPPCd22,0))</f>
        <v>#N/A</v>
      </c>
      <c r="AD77" s="520" t="e">
        <f>MAX(0,ROUND(Volumes!CI48*CPSUd22,0))</f>
        <v>#N/A</v>
      </c>
      <c r="AE77" s="520" t="e">
        <f>MAX(0,ROUND(Volumes!CJ48*CPCTd22,0))</f>
        <v>#N/A</v>
      </c>
      <c r="AF77" s="520" t="e">
        <f>MAX(0,ROUND(Volumes!CK48*CPRVd22,0))</f>
        <v>#N/A</v>
      </c>
      <c r="AG77" s="518" t="e">
        <f t="shared" si="64"/>
        <v>#N/A</v>
      </c>
      <c r="AH77" s="521" t="e">
        <f>MAX(0,ROUND(Volumes!CN48*CPPCd32,0))</f>
        <v>#N/A</v>
      </c>
      <c r="AI77" s="520" t="e">
        <f>MAX(0,ROUND(Volumes!CO48*CPSUd32,0))</f>
        <v>#N/A</v>
      </c>
      <c r="AJ77" s="520" t="e">
        <f>MAX(0,ROUND(Volumes!CP48*CPCTd32,0))</f>
        <v>#N/A</v>
      </c>
      <c r="AK77" s="520" t="e">
        <f>MAX(0,ROUND(Volumes!CQ48*CPRVd32,0))</f>
        <v>#N/A</v>
      </c>
      <c r="AL77" s="517" t="e">
        <f t="shared" si="65"/>
        <v>#N/A</v>
      </c>
    </row>
    <row r="78" spans="2:38" x14ac:dyDescent="0.25">
      <c r="B78" s="152">
        <f t="shared" si="66"/>
        <v>0.5</v>
      </c>
      <c r="C78" s="177" t="str">
        <f t="shared" si="54"/>
        <v>YES</v>
      </c>
      <c r="D78" s="522" t="e">
        <f t="shared" si="55"/>
        <v>#N/A</v>
      </c>
      <c r="E78" s="517" t="e">
        <f t="shared" si="56"/>
        <v>#N/A</v>
      </c>
      <c r="F78" s="517" t="e">
        <f t="shared" si="57"/>
        <v>#N/A</v>
      </c>
      <c r="G78" s="523" t="e">
        <f t="shared" si="58"/>
        <v>#N/A</v>
      </c>
      <c r="H78" s="518" t="e">
        <f t="shared" si="59"/>
        <v>#N/A</v>
      </c>
      <c r="I78" s="516" t="e">
        <f>MAX(0,ROUND(Volumes!BV49*CPPCwz2,0))</f>
        <v>#N/A</v>
      </c>
      <c r="J78" s="517" t="e">
        <f>MAX(0,ROUND(Volumes!BW49*CPSUwz2,0))</f>
        <v>#N/A</v>
      </c>
      <c r="K78" s="517" t="e">
        <f>MAX(0,ROUND(Volumes!BX49*CPCTwz2,0))</f>
        <v>#N/A</v>
      </c>
      <c r="L78" s="517" t="e">
        <f>MAX(0,ROUND(Volumes!BY49*CPRVwz2,0))</f>
        <v>#N/A</v>
      </c>
      <c r="M78" s="518" t="e">
        <f t="shared" si="60"/>
        <v>#N/A</v>
      </c>
      <c r="N78" s="519" t="e">
        <f>MAX(0,ROUND((Queuing!Q55/60)*CPPCq2,0))</f>
        <v>#N/A</v>
      </c>
      <c r="O78" s="520" t="e">
        <f>MAX(0,ROUND((Queuing!R55/60)*CPSUq2,0))</f>
        <v>#N/A</v>
      </c>
      <c r="P78" s="520" t="e">
        <f>MAX(0,ROUND((Queuing!S55/60)*CPCTq2,0))</f>
        <v>#N/A</v>
      </c>
      <c r="Q78" s="520" t="e">
        <f>MAX(0,ROUND((Queuing!T55/60)*CPRVq2,0))</f>
        <v>#N/A</v>
      </c>
      <c r="R78" s="518" t="e">
        <f t="shared" si="61"/>
        <v>#N/A</v>
      </c>
      <c r="S78" s="519" t="e">
        <f>MAX(0,ROUND(Volumes!BV49*CPPCf2,0))</f>
        <v>#N/A</v>
      </c>
      <c r="T78" s="520" t="e">
        <f>MAX(0,ROUND(Volumes!BW49*CPSUf2,0))</f>
        <v>#N/A</v>
      </c>
      <c r="U78" s="520" t="e">
        <f>MAX(0,ROUND(Volumes!BX49*CPCTf2,0))</f>
        <v>#N/A</v>
      </c>
      <c r="V78" s="520" t="e">
        <f>MAX(0,ROUND(Volumes!BY49*CPRVf2,0))</f>
        <v>#N/A</v>
      </c>
      <c r="W78" s="518" t="e">
        <f t="shared" si="62"/>
        <v>#N/A</v>
      </c>
      <c r="X78" s="519" t="e">
        <f>MAX(0,ROUND(Volumes!CB49*CPPCd12,0))</f>
        <v>#N/A</v>
      </c>
      <c r="Y78" s="520" t="e">
        <f>MAX(0,ROUND(Volumes!CC49*CPSUd12,0))</f>
        <v>#N/A</v>
      </c>
      <c r="Z78" s="520" t="e">
        <f>MAX(0,ROUND(Volumes!CD49*CPCTd12,0))</f>
        <v>#N/A</v>
      </c>
      <c r="AA78" s="520" t="e">
        <f>MAX(0,ROUND(Volumes!CE49*CPRVd12,0))</f>
        <v>#N/A</v>
      </c>
      <c r="AB78" s="518" t="e">
        <f t="shared" si="63"/>
        <v>#N/A</v>
      </c>
      <c r="AC78" s="519" t="e">
        <f>MAX(0,ROUND(Volumes!CH49*CPPCd22,0))</f>
        <v>#N/A</v>
      </c>
      <c r="AD78" s="520" t="e">
        <f>MAX(0,ROUND(Volumes!CI49*CPSUd22,0))</f>
        <v>#N/A</v>
      </c>
      <c r="AE78" s="520" t="e">
        <f>MAX(0,ROUND(Volumes!CJ49*CPCTd22,0))</f>
        <v>#N/A</v>
      </c>
      <c r="AF78" s="520" t="e">
        <f>MAX(0,ROUND(Volumes!CK49*CPRVd22,0))</f>
        <v>#N/A</v>
      </c>
      <c r="AG78" s="518" t="e">
        <f t="shared" si="64"/>
        <v>#N/A</v>
      </c>
      <c r="AH78" s="521" t="e">
        <f>MAX(0,ROUND(Volumes!CN49*CPPCd32,0))</f>
        <v>#N/A</v>
      </c>
      <c r="AI78" s="520" t="e">
        <f>MAX(0,ROUND(Volumes!CO49*CPSUd32,0))</f>
        <v>#N/A</v>
      </c>
      <c r="AJ78" s="520" t="e">
        <f>MAX(0,ROUND(Volumes!CP49*CPCTd32,0))</f>
        <v>#N/A</v>
      </c>
      <c r="AK78" s="520" t="e">
        <f>MAX(0,ROUND(Volumes!CQ49*CPRVd32,0))</f>
        <v>#N/A</v>
      </c>
      <c r="AL78" s="517" t="e">
        <f t="shared" si="65"/>
        <v>#N/A</v>
      </c>
    </row>
    <row r="79" spans="2:38" x14ac:dyDescent="0.25">
      <c r="B79" s="152">
        <f t="shared" si="66"/>
        <v>0.54166666666666663</v>
      </c>
      <c r="C79" s="177" t="str">
        <f t="shared" si="54"/>
        <v>YES</v>
      </c>
      <c r="D79" s="522" t="e">
        <f t="shared" si="55"/>
        <v>#N/A</v>
      </c>
      <c r="E79" s="517" t="e">
        <f t="shared" si="56"/>
        <v>#N/A</v>
      </c>
      <c r="F79" s="517" t="e">
        <f t="shared" si="57"/>
        <v>#N/A</v>
      </c>
      <c r="G79" s="523" t="e">
        <f t="shared" si="58"/>
        <v>#N/A</v>
      </c>
      <c r="H79" s="518" t="e">
        <f t="shared" si="59"/>
        <v>#N/A</v>
      </c>
      <c r="I79" s="516" t="e">
        <f>MAX(0,ROUND(Volumes!BV50*CPPCwz2,0))</f>
        <v>#N/A</v>
      </c>
      <c r="J79" s="517" t="e">
        <f>MAX(0,ROUND(Volumes!BW50*CPSUwz2,0))</f>
        <v>#N/A</v>
      </c>
      <c r="K79" s="517" t="e">
        <f>MAX(0,ROUND(Volumes!BX50*CPCTwz2,0))</f>
        <v>#N/A</v>
      </c>
      <c r="L79" s="517" t="e">
        <f>MAX(0,ROUND(Volumes!BY50*CPRVwz2,0))</f>
        <v>#N/A</v>
      </c>
      <c r="M79" s="518" t="e">
        <f t="shared" si="60"/>
        <v>#N/A</v>
      </c>
      <c r="N79" s="519" t="e">
        <f>MAX(0,ROUND((Queuing!Q56/60)*CPPCq2,0))</f>
        <v>#N/A</v>
      </c>
      <c r="O79" s="520" t="e">
        <f>MAX(0,ROUND((Queuing!R56/60)*CPSUq2,0))</f>
        <v>#N/A</v>
      </c>
      <c r="P79" s="520" t="e">
        <f>MAX(0,ROUND((Queuing!S56/60)*CPCTq2,0))</f>
        <v>#N/A</v>
      </c>
      <c r="Q79" s="520" t="e">
        <f>MAX(0,ROUND((Queuing!T56/60)*CPRVq2,0))</f>
        <v>#N/A</v>
      </c>
      <c r="R79" s="518" t="e">
        <f t="shared" si="61"/>
        <v>#N/A</v>
      </c>
      <c r="S79" s="519" t="e">
        <f>MAX(0,ROUND(Volumes!BV50*CPPCf2,0))</f>
        <v>#N/A</v>
      </c>
      <c r="T79" s="520" t="e">
        <f>MAX(0,ROUND(Volumes!BW50*CPSUf2,0))</f>
        <v>#N/A</v>
      </c>
      <c r="U79" s="520" t="e">
        <f>MAX(0,ROUND(Volumes!BX50*CPCTf2,0))</f>
        <v>#N/A</v>
      </c>
      <c r="V79" s="520" t="e">
        <f>MAX(0,ROUND(Volumes!BY50*CPRVf2,0))</f>
        <v>#N/A</v>
      </c>
      <c r="W79" s="518" t="e">
        <f t="shared" si="62"/>
        <v>#N/A</v>
      </c>
      <c r="X79" s="519" t="e">
        <f>MAX(0,ROUND(Volumes!CB50*CPPCd12,0))</f>
        <v>#N/A</v>
      </c>
      <c r="Y79" s="520" t="e">
        <f>MAX(0,ROUND(Volumes!CC50*CPSUd12,0))</f>
        <v>#N/A</v>
      </c>
      <c r="Z79" s="520" t="e">
        <f>MAX(0,ROUND(Volumes!CD50*CPCTd12,0))</f>
        <v>#N/A</v>
      </c>
      <c r="AA79" s="520" t="e">
        <f>MAX(0,ROUND(Volumes!CE50*CPRVd12,0))</f>
        <v>#N/A</v>
      </c>
      <c r="AB79" s="518" t="e">
        <f t="shared" si="63"/>
        <v>#N/A</v>
      </c>
      <c r="AC79" s="519" t="e">
        <f>MAX(0,ROUND(Volumes!CH50*CPPCd22,0))</f>
        <v>#N/A</v>
      </c>
      <c r="AD79" s="520" t="e">
        <f>MAX(0,ROUND(Volumes!CI50*CPSUd22,0))</f>
        <v>#N/A</v>
      </c>
      <c r="AE79" s="520" t="e">
        <f>MAX(0,ROUND(Volumes!CJ50*CPCTd22,0))</f>
        <v>#N/A</v>
      </c>
      <c r="AF79" s="520" t="e">
        <f>MAX(0,ROUND(Volumes!CK50*CPRVd22,0))</f>
        <v>#N/A</v>
      </c>
      <c r="AG79" s="518" t="e">
        <f t="shared" si="64"/>
        <v>#N/A</v>
      </c>
      <c r="AH79" s="521" t="e">
        <f>MAX(0,ROUND(Volumes!CN50*CPPCd32,0))</f>
        <v>#N/A</v>
      </c>
      <c r="AI79" s="520" t="e">
        <f>MAX(0,ROUND(Volumes!CO50*CPSUd32,0))</f>
        <v>#N/A</v>
      </c>
      <c r="AJ79" s="520" t="e">
        <f>MAX(0,ROUND(Volumes!CP50*CPCTd32,0))</f>
        <v>#N/A</v>
      </c>
      <c r="AK79" s="520" t="e">
        <f>MAX(0,ROUND(Volumes!CQ50*CPRVd32,0))</f>
        <v>#N/A</v>
      </c>
      <c r="AL79" s="517" t="e">
        <f t="shared" si="65"/>
        <v>#N/A</v>
      </c>
    </row>
    <row r="80" spans="2:38" x14ac:dyDescent="0.25">
      <c r="B80" s="152">
        <f t="shared" si="66"/>
        <v>0.58333333333333326</v>
      </c>
      <c r="C80" s="177" t="str">
        <f t="shared" si="54"/>
        <v>YES</v>
      </c>
      <c r="D80" s="522" t="e">
        <f t="shared" si="55"/>
        <v>#N/A</v>
      </c>
      <c r="E80" s="517" t="e">
        <f t="shared" si="56"/>
        <v>#N/A</v>
      </c>
      <c r="F80" s="517" t="e">
        <f t="shared" si="57"/>
        <v>#N/A</v>
      </c>
      <c r="G80" s="523" t="e">
        <f t="shared" si="58"/>
        <v>#N/A</v>
      </c>
      <c r="H80" s="518" t="e">
        <f t="shared" si="59"/>
        <v>#N/A</v>
      </c>
      <c r="I80" s="516" t="e">
        <f>MAX(0,ROUND(Volumes!BV51*CPPCwz2,0))</f>
        <v>#N/A</v>
      </c>
      <c r="J80" s="517" t="e">
        <f>MAX(0,ROUND(Volumes!BW51*CPSUwz2,0))</f>
        <v>#N/A</v>
      </c>
      <c r="K80" s="517" t="e">
        <f>MAX(0,ROUND(Volumes!BX51*CPCTwz2,0))</f>
        <v>#N/A</v>
      </c>
      <c r="L80" s="517" t="e">
        <f>MAX(0,ROUND(Volumes!BY51*CPRVwz2,0))</f>
        <v>#N/A</v>
      </c>
      <c r="M80" s="518" t="e">
        <f t="shared" si="60"/>
        <v>#N/A</v>
      </c>
      <c r="N80" s="519" t="e">
        <f>MAX(0,ROUND((Queuing!Q57/60)*CPPCq2,0))</f>
        <v>#N/A</v>
      </c>
      <c r="O80" s="520" t="e">
        <f>MAX(0,ROUND((Queuing!R57/60)*CPSUq2,0))</f>
        <v>#N/A</v>
      </c>
      <c r="P80" s="520" t="e">
        <f>MAX(0,ROUND((Queuing!S57/60)*CPCTq2,0))</f>
        <v>#N/A</v>
      </c>
      <c r="Q80" s="520" t="e">
        <f>MAX(0,ROUND((Queuing!T57/60)*CPRVq2,0))</f>
        <v>#N/A</v>
      </c>
      <c r="R80" s="518" t="e">
        <f t="shared" si="61"/>
        <v>#N/A</v>
      </c>
      <c r="S80" s="519" t="e">
        <f>MAX(0,ROUND(Volumes!BV51*CPPCf2,0))</f>
        <v>#N/A</v>
      </c>
      <c r="T80" s="520" t="e">
        <f>MAX(0,ROUND(Volumes!BW51*CPSUf2,0))</f>
        <v>#N/A</v>
      </c>
      <c r="U80" s="520" t="e">
        <f>MAX(0,ROUND(Volumes!BX51*CPCTf2,0))</f>
        <v>#N/A</v>
      </c>
      <c r="V80" s="520" t="e">
        <f>MAX(0,ROUND(Volumes!BY51*CPRVf2,0))</f>
        <v>#N/A</v>
      </c>
      <c r="W80" s="518" t="e">
        <f t="shared" si="62"/>
        <v>#N/A</v>
      </c>
      <c r="X80" s="519" t="e">
        <f>MAX(0,ROUND(Volumes!CB51*CPPCd12,0))</f>
        <v>#N/A</v>
      </c>
      <c r="Y80" s="520" t="e">
        <f>MAX(0,ROUND(Volumes!CC51*CPSUd12,0))</f>
        <v>#N/A</v>
      </c>
      <c r="Z80" s="520" t="e">
        <f>MAX(0,ROUND(Volumes!CD51*CPCTd12,0))</f>
        <v>#N/A</v>
      </c>
      <c r="AA80" s="520" t="e">
        <f>MAX(0,ROUND(Volumes!CE51*CPRVd12,0))</f>
        <v>#N/A</v>
      </c>
      <c r="AB80" s="518" t="e">
        <f t="shared" si="63"/>
        <v>#N/A</v>
      </c>
      <c r="AC80" s="519" t="e">
        <f>MAX(0,ROUND(Volumes!CH51*CPPCd22,0))</f>
        <v>#N/A</v>
      </c>
      <c r="AD80" s="520" t="e">
        <f>MAX(0,ROUND(Volumes!CI51*CPSUd22,0))</f>
        <v>#N/A</v>
      </c>
      <c r="AE80" s="520" t="e">
        <f>MAX(0,ROUND(Volumes!CJ51*CPCTd22,0))</f>
        <v>#N/A</v>
      </c>
      <c r="AF80" s="520" t="e">
        <f>MAX(0,ROUND(Volumes!CK51*CPRVd22,0))</f>
        <v>#N/A</v>
      </c>
      <c r="AG80" s="518" t="e">
        <f t="shared" si="64"/>
        <v>#N/A</v>
      </c>
      <c r="AH80" s="521" t="e">
        <f>MAX(0,ROUND(Volumes!CN51*CPPCd32,0))</f>
        <v>#N/A</v>
      </c>
      <c r="AI80" s="520" t="e">
        <f>MAX(0,ROUND(Volumes!CO51*CPSUd32,0))</f>
        <v>#N/A</v>
      </c>
      <c r="AJ80" s="520" t="e">
        <f>MAX(0,ROUND(Volumes!CP51*CPCTd32,0))</f>
        <v>#N/A</v>
      </c>
      <c r="AK80" s="520" t="e">
        <f>MAX(0,ROUND(Volumes!CQ51*CPRVd32,0))</f>
        <v>#N/A</v>
      </c>
      <c r="AL80" s="517" t="e">
        <f t="shared" si="65"/>
        <v>#N/A</v>
      </c>
    </row>
    <row r="81" spans="2:38" x14ac:dyDescent="0.25">
      <c r="B81" s="152">
        <f t="shared" si="66"/>
        <v>0.62499999999999989</v>
      </c>
      <c r="C81" s="177" t="str">
        <f t="shared" si="54"/>
        <v>YES</v>
      </c>
      <c r="D81" s="522" t="e">
        <f t="shared" si="55"/>
        <v>#N/A</v>
      </c>
      <c r="E81" s="517" t="e">
        <f t="shared" si="56"/>
        <v>#N/A</v>
      </c>
      <c r="F81" s="517" t="e">
        <f t="shared" si="57"/>
        <v>#N/A</v>
      </c>
      <c r="G81" s="523" t="e">
        <f t="shared" si="58"/>
        <v>#N/A</v>
      </c>
      <c r="H81" s="518" t="e">
        <f t="shared" si="59"/>
        <v>#N/A</v>
      </c>
      <c r="I81" s="516" t="e">
        <f>MAX(0,ROUND(Volumes!BV52*CPPCwz2,0))</f>
        <v>#N/A</v>
      </c>
      <c r="J81" s="517" t="e">
        <f>MAX(0,ROUND(Volumes!BW52*CPSUwz2,0))</f>
        <v>#N/A</v>
      </c>
      <c r="K81" s="517" t="e">
        <f>MAX(0,ROUND(Volumes!BX52*CPCTwz2,0))</f>
        <v>#N/A</v>
      </c>
      <c r="L81" s="517" t="e">
        <f>MAX(0,ROUND(Volumes!BY52*CPRVwz2,0))</f>
        <v>#N/A</v>
      </c>
      <c r="M81" s="518" t="e">
        <f t="shared" si="60"/>
        <v>#N/A</v>
      </c>
      <c r="N81" s="519" t="e">
        <f>MAX(0,ROUND((Queuing!Q58/60)*CPPCq2,0))</f>
        <v>#N/A</v>
      </c>
      <c r="O81" s="520" t="e">
        <f>MAX(0,ROUND((Queuing!R58/60)*CPSUq2,0))</f>
        <v>#N/A</v>
      </c>
      <c r="P81" s="520" t="e">
        <f>MAX(0,ROUND((Queuing!S58/60)*CPCTq2,0))</f>
        <v>#N/A</v>
      </c>
      <c r="Q81" s="520" t="e">
        <f>MAX(0,ROUND((Queuing!T58/60)*CPRVq2,0))</f>
        <v>#N/A</v>
      </c>
      <c r="R81" s="518" t="e">
        <f t="shared" si="61"/>
        <v>#N/A</v>
      </c>
      <c r="S81" s="519" t="e">
        <f>MAX(0,ROUND(Volumes!BV52*CPPCf2,0))</f>
        <v>#N/A</v>
      </c>
      <c r="T81" s="520" t="e">
        <f>MAX(0,ROUND(Volumes!BW52*CPSUf2,0))</f>
        <v>#N/A</v>
      </c>
      <c r="U81" s="520" t="e">
        <f>MAX(0,ROUND(Volumes!BX52*CPCTf2,0))</f>
        <v>#N/A</v>
      </c>
      <c r="V81" s="520" t="e">
        <f>MAX(0,ROUND(Volumes!BY52*CPRVf2,0))</f>
        <v>#N/A</v>
      </c>
      <c r="W81" s="518" t="e">
        <f t="shared" si="62"/>
        <v>#N/A</v>
      </c>
      <c r="X81" s="519" t="e">
        <f>MAX(0,ROUND(Volumes!CB52*CPPCd12,0))</f>
        <v>#N/A</v>
      </c>
      <c r="Y81" s="520" t="e">
        <f>MAX(0,ROUND(Volumes!CC52*CPSUd12,0))</f>
        <v>#N/A</v>
      </c>
      <c r="Z81" s="520" t="e">
        <f>MAX(0,ROUND(Volumes!CD52*CPCTd12,0))</f>
        <v>#N/A</v>
      </c>
      <c r="AA81" s="520" t="e">
        <f>MAX(0,ROUND(Volumes!CE52*CPRVd12,0))</f>
        <v>#N/A</v>
      </c>
      <c r="AB81" s="518" t="e">
        <f t="shared" si="63"/>
        <v>#N/A</v>
      </c>
      <c r="AC81" s="519" t="e">
        <f>MAX(0,ROUND(Volumes!CH52*CPPCd22,0))</f>
        <v>#N/A</v>
      </c>
      <c r="AD81" s="520" t="e">
        <f>MAX(0,ROUND(Volumes!CI52*CPSUd22,0))</f>
        <v>#N/A</v>
      </c>
      <c r="AE81" s="520" t="e">
        <f>MAX(0,ROUND(Volumes!CJ52*CPCTd22,0))</f>
        <v>#N/A</v>
      </c>
      <c r="AF81" s="520" t="e">
        <f>MAX(0,ROUND(Volumes!CK52*CPRVd22,0))</f>
        <v>#N/A</v>
      </c>
      <c r="AG81" s="518" t="e">
        <f t="shared" si="64"/>
        <v>#N/A</v>
      </c>
      <c r="AH81" s="521" t="e">
        <f>MAX(0,ROUND(Volumes!CN52*CPPCd32,0))</f>
        <v>#N/A</v>
      </c>
      <c r="AI81" s="520" t="e">
        <f>MAX(0,ROUND(Volumes!CO52*CPSUd32,0))</f>
        <v>#N/A</v>
      </c>
      <c r="AJ81" s="520" t="e">
        <f>MAX(0,ROUND(Volumes!CP52*CPCTd32,0))</f>
        <v>#N/A</v>
      </c>
      <c r="AK81" s="520" t="e">
        <f>MAX(0,ROUND(Volumes!CQ52*CPRVd32,0))</f>
        <v>#N/A</v>
      </c>
      <c r="AL81" s="517" t="e">
        <f t="shared" si="65"/>
        <v>#N/A</v>
      </c>
    </row>
    <row r="82" spans="2:38" x14ac:dyDescent="0.25">
      <c r="B82" s="152">
        <f t="shared" si="66"/>
        <v>0.66666666666666652</v>
      </c>
      <c r="C82" s="177" t="str">
        <f t="shared" si="54"/>
        <v>YES</v>
      </c>
      <c r="D82" s="522" t="e">
        <f t="shared" si="55"/>
        <v>#N/A</v>
      </c>
      <c r="E82" s="517" t="e">
        <f t="shared" si="56"/>
        <v>#N/A</v>
      </c>
      <c r="F82" s="517" t="e">
        <f t="shared" si="57"/>
        <v>#N/A</v>
      </c>
      <c r="G82" s="523" t="e">
        <f t="shared" si="58"/>
        <v>#N/A</v>
      </c>
      <c r="H82" s="518" t="e">
        <f t="shared" si="59"/>
        <v>#N/A</v>
      </c>
      <c r="I82" s="516" t="e">
        <f>MAX(0,ROUND(Volumes!BV53*CPPCwz2,0))</f>
        <v>#N/A</v>
      </c>
      <c r="J82" s="517" t="e">
        <f>MAX(0,ROUND(Volumes!BW53*CPSUwz2,0))</f>
        <v>#N/A</v>
      </c>
      <c r="K82" s="517" t="e">
        <f>MAX(0,ROUND(Volumes!BX53*CPCTwz2,0))</f>
        <v>#N/A</v>
      </c>
      <c r="L82" s="517" t="e">
        <f>MAX(0,ROUND(Volumes!BY53*CPRVwz2,0))</f>
        <v>#N/A</v>
      </c>
      <c r="M82" s="518" t="e">
        <f t="shared" si="60"/>
        <v>#N/A</v>
      </c>
      <c r="N82" s="519" t="e">
        <f>MAX(0,ROUND((Queuing!Q59/60)*CPPCq2,0))</f>
        <v>#N/A</v>
      </c>
      <c r="O82" s="520" t="e">
        <f>MAX(0,ROUND((Queuing!R59/60)*CPSUq2,0))</f>
        <v>#N/A</v>
      </c>
      <c r="P82" s="520" t="e">
        <f>MAX(0,ROUND((Queuing!S59/60)*CPCTq2,0))</f>
        <v>#N/A</v>
      </c>
      <c r="Q82" s="520" t="e">
        <f>MAX(0,ROUND((Queuing!T59/60)*CPRVq2,0))</f>
        <v>#N/A</v>
      </c>
      <c r="R82" s="518" t="e">
        <f t="shared" si="61"/>
        <v>#N/A</v>
      </c>
      <c r="S82" s="519" t="e">
        <f>MAX(0,ROUND(Volumes!BV53*CPPCf2,0))</f>
        <v>#N/A</v>
      </c>
      <c r="T82" s="520" t="e">
        <f>MAX(0,ROUND(Volumes!BW53*CPSUf2,0))</f>
        <v>#N/A</v>
      </c>
      <c r="U82" s="520" t="e">
        <f>MAX(0,ROUND(Volumes!BX53*CPCTf2,0))</f>
        <v>#N/A</v>
      </c>
      <c r="V82" s="520" t="e">
        <f>MAX(0,ROUND(Volumes!BY53*CPRVf2,0))</f>
        <v>#N/A</v>
      </c>
      <c r="W82" s="518" t="e">
        <f t="shared" si="62"/>
        <v>#N/A</v>
      </c>
      <c r="X82" s="519" t="e">
        <f>MAX(0,ROUND(Volumes!CB53*CPPCd12,0))</f>
        <v>#N/A</v>
      </c>
      <c r="Y82" s="520" t="e">
        <f>MAX(0,ROUND(Volumes!CC53*CPSUd12,0))</f>
        <v>#N/A</v>
      </c>
      <c r="Z82" s="520" t="e">
        <f>MAX(0,ROUND(Volumes!CD53*CPCTd12,0))</f>
        <v>#N/A</v>
      </c>
      <c r="AA82" s="520" t="e">
        <f>MAX(0,ROUND(Volumes!CE53*CPRVd12,0))</f>
        <v>#N/A</v>
      </c>
      <c r="AB82" s="518" t="e">
        <f t="shared" si="63"/>
        <v>#N/A</v>
      </c>
      <c r="AC82" s="519" t="e">
        <f>MAX(0,ROUND(Volumes!CH53*CPPCd22,0))</f>
        <v>#N/A</v>
      </c>
      <c r="AD82" s="520" t="e">
        <f>MAX(0,ROUND(Volumes!CI53*CPSUd22,0))</f>
        <v>#N/A</v>
      </c>
      <c r="AE82" s="520" t="e">
        <f>MAX(0,ROUND(Volumes!CJ53*CPCTd22,0))</f>
        <v>#N/A</v>
      </c>
      <c r="AF82" s="520" t="e">
        <f>MAX(0,ROUND(Volumes!CK53*CPRVd22,0))</f>
        <v>#N/A</v>
      </c>
      <c r="AG82" s="518" t="e">
        <f t="shared" si="64"/>
        <v>#N/A</v>
      </c>
      <c r="AH82" s="521" t="e">
        <f>MAX(0,ROUND(Volumes!CN53*CPPCd32,0))</f>
        <v>#N/A</v>
      </c>
      <c r="AI82" s="520" t="e">
        <f>MAX(0,ROUND(Volumes!CO53*CPSUd32,0))</f>
        <v>#N/A</v>
      </c>
      <c r="AJ82" s="520" t="e">
        <f>MAX(0,ROUND(Volumes!CP53*CPCTd32,0))</f>
        <v>#N/A</v>
      </c>
      <c r="AK82" s="520" t="e">
        <f>MAX(0,ROUND(Volumes!CQ53*CPRVd32,0))</f>
        <v>#N/A</v>
      </c>
      <c r="AL82" s="517" t="e">
        <f t="shared" si="65"/>
        <v>#N/A</v>
      </c>
    </row>
    <row r="83" spans="2:38" x14ac:dyDescent="0.25">
      <c r="B83" s="152">
        <f t="shared" si="66"/>
        <v>0.70833333333333315</v>
      </c>
      <c r="C83" s="177" t="str">
        <f t="shared" si="54"/>
        <v>YES</v>
      </c>
      <c r="D83" s="522" t="e">
        <f t="shared" si="55"/>
        <v>#N/A</v>
      </c>
      <c r="E83" s="517" t="e">
        <f t="shared" si="56"/>
        <v>#N/A</v>
      </c>
      <c r="F83" s="517" t="e">
        <f t="shared" si="57"/>
        <v>#N/A</v>
      </c>
      <c r="G83" s="523" t="e">
        <f t="shared" si="58"/>
        <v>#N/A</v>
      </c>
      <c r="H83" s="518" t="e">
        <f t="shared" si="59"/>
        <v>#N/A</v>
      </c>
      <c r="I83" s="516" t="e">
        <f>MAX(0,ROUND(Volumes!BV54*CPPCwz2,0))</f>
        <v>#N/A</v>
      </c>
      <c r="J83" s="517" t="e">
        <f>MAX(0,ROUND(Volumes!BW54*CPSUwz2,0))</f>
        <v>#N/A</v>
      </c>
      <c r="K83" s="517" t="e">
        <f>MAX(0,ROUND(Volumes!BX54*CPCTwz2,0))</f>
        <v>#N/A</v>
      </c>
      <c r="L83" s="517" t="e">
        <f>MAX(0,ROUND(Volumes!BY54*CPRVwz2,0))</f>
        <v>#N/A</v>
      </c>
      <c r="M83" s="518" t="e">
        <f t="shared" si="60"/>
        <v>#N/A</v>
      </c>
      <c r="N83" s="519" t="e">
        <f>MAX(0,ROUND((Queuing!Q60/60)*CPPCq2,0))</f>
        <v>#N/A</v>
      </c>
      <c r="O83" s="520" t="e">
        <f>MAX(0,ROUND((Queuing!R60/60)*CPSUq2,0))</f>
        <v>#N/A</v>
      </c>
      <c r="P83" s="520" t="e">
        <f>MAX(0,ROUND((Queuing!S60/60)*CPCTq2,0))</f>
        <v>#N/A</v>
      </c>
      <c r="Q83" s="520" t="e">
        <f>MAX(0,ROUND((Queuing!T60/60)*CPRVq2,0))</f>
        <v>#N/A</v>
      </c>
      <c r="R83" s="518" t="e">
        <f t="shared" si="61"/>
        <v>#N/A</v>
      </c>
      <c r="S83" s="519" t="e">
        <f>MAX(0,ROUND(Volumes!BV54*CPPCf2,0))</f>
        <v>#N/A</v>
      </c>
      <c r="T83" s="520" t="e">
        <f>MAX(0,ROUND(Volumes!BW54*CPSUf2,0))</f>
        <v>#N/A</v>
      </c>
      <c r="U83" s="520" t="e">
        <f>MAX(0,ROUND(Volumes!BX54*CPCTf2,0))</f>
        <v>#N/A</v>
      </c>
      <c r="V83" s="520" t="e">
        <f>MAX(0,ROUND(Volumes!BY54*CPRVf2,0))</f>
        <v>#N/A</v>
      </c>
      <c r="W83" s="518" t="e">
        <f t="shared" si="62"/>
        <v>#N/A</v>
      </c>
      <c r="X83" s="519" t="e">
        <f>MAX(0,ROUND(Volumes!CB54*CPPCd12,0))</f>
        <v>#N/A</v>
      </c>
      <c r="Y83" s="520" t="e">
        <f>MAX(0,ROUND(Volumes!CC54*CPSUd12,0))</f>
        <v>#N/A</v>
      </c>
      <c r="Z83" s="520" t="e">
        <f>MAX(0,ROUND(Volumes!CD54*CPCTd12,0))</f>
        <v>#N/A</v>
      </c>
      <c r="AA83" s="520" t="e">
        <f>MAX(0,ROUND(Volumes!CE54*CPRVd12,0))</f>
        <v>#N/A</v>
      </c>
      <c r="AB83" s="518" t="e">
        <f t="shared" si="63"/>
        <v>#N/A</v>
      </c>
      <c r="AC83" s="519" t="e">
        <f>MAX(0,ROUND(Volumes!CH54*CPPCd22,0))</f>
        <v>#N/A</v>
      </c>
      <c r="AD83" s="520" t="e">
        <f>MAX(0,ROUND(Volumes!CI54*CPSUd22,0))</f>
        <v>#N/A</v>
      </c>
      <c r="AE83" s="520" t="e">
        <f>MAX(0,ROUND(Volumes!CJ54*CPCTd22,0))</f>
        <v>#N/A</v>
      </c>
      <c r="AF83" s="520" t="e">
        <f>MAX(0,ROUND(Volumes!CK54*CPRVd22,0))</f>
        <v>#N/A</v>
      </c>
      <c r="AG83" s="518" t="e">
        <f t="shared" si="64"/>
        <v>#N/A</v>
      </c>
      <c r="AH83" s="521" t="e">
        <f>MAX(0,ROUND(Volumes!CN54*CPPCd32,0))</f>
        <v>#N/A</v>
      </c>
      <c r="AI83" s="520" t="e">
        <f>MAX(0,ROUND(Volumes!CO54*CPSUd32,0))</f>
        <v>#N/A</v>
      </c>
      <c r="AJ83" s="520" t="e">
        <f>MAX(0,ROUND(Volumes!CP54*CPCTd32,0))</f>
        <v>#N/A</v>
      </c>
      <c r="AK83" s="520" t="e">
        <f>MAX(0,ROUND(Volumes!CQ54*CPRVd32,0))</f>
        <v>#N/A</v>
      </c>
      <c r="AL83" s="517" t="e">
        <f t="shared" si="65"/>
        <v>#N/A</v>
      </c>
    </row>
    <row r="84" spans="2:38" x14ac:dyDescent="0.25">
      <c r="B84" s="152">
        <f t="shared" si="66"/>
        <v>0.74999999999999978</v>
      </c>
      <c r="C84" s="177" t="str">
        <f t="shared" si="54"/>
        <v>YES</v>
      </c>
      <c r="D84" s="522" t="e">
        <f t="shared" si="55"/>
        <v>#N/A</v>
      </c>
      <c r="E84" s="517" t="e">
        <f t="shared" si="56"/>
        <v>#N/A</v>
      </c>
      <c r="F84" s="517" t="e">
        <f t="shared" si="57"/>
        <v>#N/A</v>
      </c>
      <c r="G84" s="523" t="e">
        <f t="shared" si="58"/>
        <v>#N/A</v>
      </c>
      <c r="H84" s="518" t="e">
        <f t="shared" si="59"/>
        <v>#N/A</v>
      </c>
      <c r="I84" s="516" t="e">
        <f>MAX(0,ROUND(Volumes!BV55*CPPCwz2,0))</f>
        <v>#N/A</v>
      </c>
      <c r="J84" s="517" t="e">
        <f>MAX(0,ROUND(Volumes!BW55*CPSUwz2,0))</f>
        <v>#N/A</v>
      </c>
      <c r="K84" s="517" t="e">
        <f>MAX(0,ROUND(Volumes!BX55*CPCTwz2,0))</f>
        <v>#N/A</v>
      </c>
      <c r="L84" s="517" t="e">
        <f>MAX(0,ROUND(Volumes!BY55*CPRVwz2,0))</f>
        <v>#N/A</v>
      </c>
      <c r="M84" s="518" t="e">
        <f t="shared" si="60"/>
        <v>#N/A</v>
      </c>
      <c r="N84" s="519" t="e">
        <f>MAX(0,ROUND((Queuing!Q61/60)*CPPCq2,0))</f>
        <v>#N/A</v>
      </c>
      <c r="O84" s="520" t="e">
        <f>MAX(0,ROUND((Queuing!R61/60)*CPSUq2,0))</f>
        <v>#N/A</v>
      </c>
      <c r="P84" s="520" t="e">
        <f>MAX(0,ROUND((Queuing!S61/60)*CPCTq2,0))</f>
        <v>#N/A</v>
      </c>
      <c r="Q84" s="520" t="e">
        <f>MAX(0,ROUND((Queuing!T61/60)*CPRVq2,0))</f>
        <v>#N/A</v>
      </c>
      <c r="R84" s="518" t="e">
        <f t="shared" si="61"/>
        <v>#N/A</v>
      </c>
      <c r="S84" s="519" t="e">
        <f>MAX(0,ROUND(Volumes!BV55*CPPCf2,0))</f>
        <v>#N/A</v>
      </c>
      <c r="T84" s="520" t="e">
        <f>MAX(0,ROUND(Volumes!BW55*CPSUf2,0))</f>
        <v>#N/A</v>
      </c>
      <c r="U84" s="520" t="e">
        <f>MAX(0,ROUND(Volumes!BX55*CPCTf2,0))</f>
        <v>#N/A</v>
      </c>
      <c r="V84" s="520" t="e">
        <f>MAX(0,ROUND(Volumes!BY55*CPRVf2,0))</f>
        <v>#N/A</v>
      </c>
      <c r="W84" s="518" t="e">
        <f t="shared" si="62"/>
        <v>#N/A</v>
      </c>
      <c r="X84" s="519" t="e">
        <f>MAX(0,ROUND(Volumes!CB55*CPPCd12,0))</f>
        <v>#N/A</v>
      </c>
      <c r="Y84" s="520" t="e">
        <f>MAX(0,ROUND(Volumes!CC55*CPSUd12,0))</f>
        <v>#N/A</v>
      </c>
      <c r="Z84" s="520" t="e">
        <f>MAX(0,ROUND(Volumes!CD55*CPCTd12,0))</f>
        <v>#N/A</v>
      </c>
      <c r="AA84" s="520" t="e">
        <f>MAX(0,ROUND(Volumes!CE55*CPRVd12,0))</f>
        <v>#N/A</v>
      </c>
      <c r="AB84" s="518" t="e">
        <f t="shared" si="63"/>
        <v>#N/A</v>
      </c>
      <c r="AC84" s="519" t="e">
        <f>MAX(0,ROUND(Volumes!CH55*CPPCd22,0))</f>
        <v>#N/A</v>
      </c>
      <c r="AD84" s="520" t="e">
        <f>MAX(0,ROUND(Volumes!CI55*CPSUd22,0))</f>
        <v>#N/A</v>
      </c>
      <c r="AE84" s="520" t="e">
        <f>MAX(0,ROUND(Volumes!CJ55*CPCTd22,0))</f>
        <v>#N/A</v>
      </c>
      <c r="AF84" s="520" t="e">
        <f>MAX(0,ROUND(Volumes!CK55*CPRVd22,0))</f>
        <v>#N/A</v>
      </c>
      <c r="AG84" s="518" t="e">
        <f t="shared" si="64"/>
        <v>#N/A</v>
      </c>
      <c r="AH84" s="521" t="e">
        <f>MAX(0,ROUND(Volumes!CN55*CPPCd32,0))</f>
        <v>#N/A</v>
      </c>
      <c r="AI84" s="520" t="e">
        <f>MAX(0,ROUND(Volumes!CO55*CPSUd32,0))</f>
        <v>#N/A</v>
      </c>
      <c r="AJ84" s="520" t="e">
        <f>MAX(0,ROUND(Volumes!CP55*CPCTd32,0))</f>
        <v>#N/A</v>
      </c>
      <c r="AK84" s="520" t="e">
        <f>MAX(0,ROUND(Volumes!CQ55*CPRVd32,0))</f>
        <v>#N/A</v>
      </c>
      <c r="AL84" s="517" t="e">
        <f t="shared" si="65"/>
        <v>#N/A</v>
      </c>
    </row>
    <row r="85" spans="2:38" x14ac:dyDescent="0.25">
      <c r="B85" s="152">
        <f t="shared" si="66"/>
        <v>0.79166666666666641</v>
      </c>
      <c r="C85" s="177" t="str">
        <f t="shared" si="54"/>
        <v>YES</v>
      </c>
      <c r="D85" s="522" t="e">
        <f t="shared" si="55"/>
        <v>#N/A</v>
      </c>
      <c r="E85" s="517" t="e">
        <f t="shared" si="56"/>
        <v>#N/A</v>
      </c>
      <c r="F85" s="517" t="e">
        <f t="shared" si="57"/>
        <v>#N/A</v>
      </c>
      <c r="G85" s="523" t="e">
        <f t="shared" si="58"/>
        <v>#N/A</v>
      </c>
      <c r="H85" s="518" t="e">
        <f t="shared" si="59"/>
        <v>#N/A</v>
      </c>
      <c r="I85" s="516" t="e">
        <f>MAX(0,ROUND(Volumes!BV56*CPPCwz2,0))</f>
        <v>#N/A</v>
      </c>
      <c r="J85" s="517" t="e">
        <f>MAX(0,ROUND(Volumes!BW56*CPSUwz2,0))</f>
        <v>#N/A</v>
      </c>
      <c r="K85" s="517" t="e">
        <f>MAX(0,ROUND(Volumes!BX56*CPCTwz2,0))</f>
        <v>#N/A</v>
      </c>
      <c r="L85" s="517" t="e">
        <f>MAX(0,ROUND(Volumes!BY56*CPRVwz2,0))</f>
        <v>#N/A</v>
      </c>
      <c r="M85" s="518" t="e">
        <f t="shared" si="60"/>
        <v>#N/A</v>
      </c>
      <c r="N85" s="519" t="e">
        <f>MAX(0,ROUND((Queuing!Q62/60)*CPPCq2,0))</f>
        <v>#N/A</v>
      </c>
      <c r="O85" s="520" t="e">
        <f>MAX(0,ROUND((Queuing!R62/60)*CPSUq2,0))</f>
        <v>#N/A</v>
      </c>
      <c r="P85" s="520" t="e">
        <f>MAX(0,ROUND((Queuing!S62/60)*CPCTq2,0))</f>
        <v>#N/A</v>
      </c>
      <c r="Q85" s="520" t="e">
        <f>MAX(0,ROUND((Queuing!T62/60)*CPRVq2,0))</f>
        <v>#N/A</v>
      </c>
      <c r="R85" s="518" t="e">
        <f t="shared" si="61"/>
        <v>#N/A</v>
      </c>
      <c r="S85" s="519" t="e">
        <f>MAX(0,ROUND(Volumes!BV56*CPPCf2,0))</f>
        <v>#N/A</v>
      </c>
      <c r="T85" s="520" t="e">
        <f>MAX(0,ROUND(Volumes!BW56*CPSUf2,0))</f>
        <v>#N/A</v>
      </c>
      <c r="U85" s="520" t="e">
        <f>MAX(0,ROUND(Volumes!BX56*CPCTf2,0))</f>
        <v>#N/A</v>
      </c>
      <c r="V85" s="520" t="e">
        <f>MAX(0,ROUND(Volumes!BY56*CPRVf2,0))</f>
        <v>#N/A</v>
      </c>
      <c r="W85" s="518" t="e">
        <f t="shared" si="62"/>
        <v>#N/A</v>
      </c>
      <c r="X85" s="519" t="e">
        <f>MAX(0,ROUND(Volumes!CB56*CPPCd12,0))</f>
        <v>#N/A</v>
      </c>
      <c r="Y85" s="520" t="e">
        <f>MAX(0,ROUND(Volumes!CC56*CPSUd12,0))</f>
        <v>#N/A</v>
      </c>
      <c r="Z85" s="520" t="e">
        <f>MAX(0,ROUND(Volumes!CD56*CPCTd12,0))</f>
        <v>#N/A</v>
      </c>
      <c r="AA85" s="520" t="e">
        <f>MAX(0,ROUND(Volumes!CE56*CPRVd12,0))</f>
        <v>#N/A</v>
      </c>
      <c r="AB85" s="518" t="e">
        <f t="shared" si="63"/>
        <v>#N/A</v>
      </c>
      <c r="AC85" s="519" t="e">
        <f>MAX(0,ROUND(Volumes!CH56*CPPCd22,0))</f>
        <v>#N/A</v>
      </c>
      <c r="AD85" s="520" t="e">
        <f>MAX(0,ROUND(Volumes!CI56*CPSUd22,0))</f>
        <v>#N/A</v>
      </c>
      <c r="AE85" s="520" t="e">
        <f>MAX(0,ROUND(Volumes!CJ56*CPCTd22,0))</f>
        <v>#N/A</v>
      </c>
      <c r="AF85" s="520" t="e">
        <f>MAX(0,ROUND(Volumes!CK56*CPRVd22,0))</f>
        <v>#N/A</v>
      </c>
      <c r="AG85" s="518" t="e">
        <f t="shared" si="64"/>
        <v>#N/A</v>
      </c>
      <c r="AH85" s="521" t="e">
        <f>MAX(0,ROUND(Volumes!CN56*CPPCd32,0))</f>
        <v>#N/A</v>
      </c>
      <c r="AI85" s="520" t="e">
        <f>MAX(0,ROUND(Volumes!CO56*CPSUd32,0))</f>
        <v>#N/A</v>
      </c>
      <c r="AJ85" s="520" t="e">
        <f>MAX(0,ROUND(Volumes!CP56*CPCTd32,0))</f>
        <v>#N/A</v>
      </c>
      <c r="AK85" s="520" t="e">
        <f>MAX(0,ROUND(Volumes!CQ56*CPRVd32,0))</f>
        <v>#N/A</v>
      </c>
      <c r="AL85" s="517" t="e">
        <f t="shared" si="65"/>
        <v>#N/A</v>
      </c>
    </row>
    <row r="86" spans="2:38" x14ac:dyDescent="0.25">
      <c r="B86" s="152">
        <f t="shared" si="66"/>
        <v>0.83333333333333304</v>
      </c>
      <c r="C86" s="177" t="str">
        <f t="shared" si="54"/>
        <v>YES</v>
      </c>
      <c r="D86" s="522" t="e">
        <f t="shared" si="55"/>
        <v>#N/A</v>
      </c>
      <c r="E86" s="517" t="e">
        <f t="shared" si="56"/>
        <v>#N/A</v>
      </c>
      <c r="F86" s="517" t="e">
        <f t="shared" si="57"/>
        <v>#N/A</v>
      </c>
      <c r="G86" s="523" t="e">
        <f t="shared" si="58"/>
        <v>#N/A</v>
      </c>
      <c r="H86" s="518" t="e">
        <f t="shared" si="59"/>
        <v>#N/A</v>
      </c>
      <c r="I86" s="516" t="e">
        <f>MAX(0,ROUND(Volumes!BV57*CPPCwz2,0))</f>
        <v>#N/A</v>
      </c>
      <c r="J86" s="517" t="e">
        <f>MAX(0,ROUND(Volumes!BW57*CPSUwz2,0))</f>
        <v>#N/A</v>
      </c>
      <c r="K86" s="517" t="e">
        <f>MAX(0,ROUND(Volumes!BX57*CPCTwz2,0))</f>
        <v>#N/A</v>
      </c>
      <c r="L86" s="517" t="e">
        <f>MAX(0,ROUND(Volumes!BY57*CPRVwz2,0))</f>
        <v>#N/A</v>
      </c>
      <c r="M86" s="518" t="e">
        <f t="shared" si="60"/>
        <v>#N/A</v>
      </c>
      <c r="N86" s="519" t="e">
        <f>MAX(0,ROUND((Queuing!Q63/60)*CPPCq2,0))</f>
        <v>#N/A</v>
      </c>
      <c r="O86" s="520" t="e">
        <f>MAX(0,ROUND((Queuing!R63/60)*CPSUq2,0))</f>
        <v>#N/A</v>
      </c>
      <c r="P86" s="520" t="e">
        <f>MAX(0,ROUND((Queuing!S63/60)*CPCTq2,0))</f>
        <v>#N/A</v>
      </c>
      <c r="Q86" s="520" t="e">
        <f>MAX(0,ROUND((Queuing!T63/60)*CPRVq2,0))</f>
        <v>#N/A</v>
      </c>
      <c r="R86" s="518" t="e">
        <f t="shared" si="61"/>
        <v>#N/A</v>
      </c>
      <c r="S86" s="519" t="e">
        <f>MAX(0,ROUND(Volumes!BV57*CPPCf2,0))</f>
        <v>#N/A</v>
      </c>
      <c r="T86" s="520" t="e">
        <f>MAX(0,ROUND(Volumes!BW57*CPSUf2,0))</f>
        <v>#N/A</v>
      </c>
      <c r="U86" s="520" t="e">
        <f>MAX(0,ROUND(Volumes!BX57*CPCTf2,0))</f>
        <v>#N/A</v>
      </c>
      <c r="V86" s="520" t="e">
        <f>MAX(0,ROUND(Volumes!BY57*CPRVf2,0))</f>
        <v>#N/A</v>
      </c>
      <c r="W86" s="518" t="e">
        <f t="shared" si="62"/>
        <v>#N/A</v>
      </c>
      <c r="X86" s="519" t="e">
        <f>MAX(0,ROUND(Volumes!CB57*CPPCd12,0))</f>
        <v>#N/A</v>
      </c>
      <c r="Y86" s="520" t="e">
        <f>MAX(0,ROUND(Volumes!CC57*CPSUd12,0))</f>
        <v>#N/A</v>
      </c>
      <c r="Z86" s="520" t="e">
        <f>MAX(0,ROUND(Volumes!CD57*CPCTd12,0))</f>
        <v>#N/A</v>
      </c>
      <c r="AA86" s="520" t="e">
        <f>MAX(0,ROUND(Volumes!CE57*CPRVd12,0))</f>
        <v>#N/A</v>
      </c>
      <c r="AB86" s="518" t="e">
        <f t="shared" si="63"/>
        <v>#N/A</v>
      </c>
      <c r="AC86" s="519" t="e">
        <f>MAX(0,ROUND(Volumes!CH57*CPPCd22,0))</f>
        <v>#N/A</v>
      </c>
      <c r="AD86" s="520" t="e">
        <f>MAX(0,ROUND(Volumes!CI57*CPSUd22,0))</f>
        <v>#N/A</v>
      </c>
      <c r="AE86" s="520" t="e">
        <f>MAX(0,ROUND(Volumes!CJ57*CPCTd22,0))</f>
        <v>#N/A</v>
      </c>
      <c r="AF86" s="520" t="e">
        <f>MAX(0,ROUND(Volumes!CK57*CPRVd22,0))</f>
        <v>#N/A</v>
      </c>
      <c r="AG86" s="518" t="e">
        <f t="shared" si="64"/>
        <v>#N/A</v>
      </c>
      <c r="AH86" s="521" t="e">
        <f>MAX(0,ROUND(Volumes!CN57*CPPCd32,0))</f>
        <v>#N/A</v>
      </c>
      <c r="AI86" s="520" t="e">
        <f>MAX(0,ROUND(Volumes!CO57*CPSUd32,0))</f>
        <v>#N/A</v>
      </c>
      <c r="AJ86" s="520" t="e">
        <f>MAX(0,ROUND(Volumes!CP57*CPCTd32,0))</f>
        <v>#N/A</v>
      </c>
      <c r="AK86" s="520" t="e">
        <f>MAX(0,ROUND(Volumes!CQ57*CPRVd32,0))</f>
        <v>#N/A</v>
      </c>
      <c r="AL86" s="517" t="e">
        <f t="shared" si="65"/>
        <v>#N/A</v>
      </c>
    </row>
    <row r="87" spans="2:38" x14ac:dyDescent="0.25">
      <c r="B87" s="152">
        <f t="shared" si="66"/>
        <v>0.87499999999999967</v>
      </c>
      <c r="C87" s="177" t="str">
        <f t="shared" si="54"/>
        <v>YES</v>
      </c>
      <c r="D87" s="522" t="e">
        <f t="shared" si="55"/>
        <v>#N/A</v>
      </c>
      <c r="E87" s="517" t="e">
        <f t="shared" si="56"/>
        <v>#N/A</v>
      </c>
      <c r="F87" s="517" t="e">
        <f t="shared" si="57"/>
        <v>#N/A</v>
      </c>
      <c r="G87" s="523" t="e">
        <f t="shared" si="58"/>
        <v>#N/A</v>
      </c>
      <c r="H87" s="518" t="e">
        <f t="shared" si="59"/>
        <v>#N/A</v>
      </c>
      <c r="I87" s="516" t="e">
        <f>MAX(0,ROUND(Volumes!BV58*CPPCwz2,0))</f>
        <v>#N/A</v>
      </c>
      <c r="J87" s="517" t="e">
        <f>MAX(0,ROUND(Volumes!BW58*CPSUwz2,0))</f>
        <v>#N/A</v>
      </c>
      <c r="K87" s="517" t="e">
        <f>MAX(0,ROUND(Volumes!BX58*CPCTwz2,0))</f>
        <v>#N/A</v>
      </c>
      <c r="L87" s="517" t="e">
        <f>MAX(0,ROUND(Volumes!BY58*CPRVwz2,0))</f>
        <v>#N/A</v>
      </c>
      <c r="M87" s="518" t="e">
        <f t="shared" si="60"/>
        <v>#N/A</v>
      </c>
      <c r="N87" s="519" t="e">
        <f>MAX(0,ROUND((Queuing!Q64/60)*CPPCq2,0))</f>
        <v>#N/A</v>
      </c>
      <c r="O87" s="520" t="e">
        <f>MAX(0,ROUND((Queuing!R64/60)*CPSUq2,0))</f>
        <v>#N/A</v>
      </c>
      <c r="P87" s="520" t="e">
        <f>MAX(0,ROUND((Queuing!S64/60)*CPCTq2,0))</f>
        <v>#N/A</v>
      </c>
      <c r="Q87" s="520" t="e">
        <f>MAX(0,ROUND((Queuing!T64/60)*CPRVq2,0))</f>
        <v>#N/A</v>
      </c>
      <c r="R87" s="518" t="e">
        <f t="shared" si="61"/>
        <v>#N/A</v>
      </c>
      <c r="S87" s="519" t="e">
        <f>MAX(0,ROUND(Volumes!BV58*CPPCf2,0))</f>
        <v>#N/A</v>
      </c>
      <c r="T87" s="520" t="e">
        <f>MAX(0,ROUND(Volumes!BW58*CPSUf2,0))</f>
        <v>#N/A</v>
      </c>
      <c r="U87" s="520" t="e">
        <f>MAX(0,ROUND(Volumes!BX58*CPCTf2,0))</f>
        <v>#N/A</v>
      </c>
      <c r="V87" s="520" t="e">
        <f>MAX(0,ROUND(Volumes!BY58*CPRVf2,0))</f>
        <v>#N/A</v>
      </c>
      <c r="W87" s="518" t="e">
        <f t="shared" si="62"/>
        <v>#N/A</v>
      </c>
      <c r="X87" s="519" t="e">
        <f>MAX(0,ROUND(Volumes!CB58*CPPCd12,0))</f>
        <v>#N/A</v>
      </c>
      <c r="Y87" s="520" t="e">
        <f>MAX(0,ROUND(Volumes!CC58*CPSUd12,0))</f>
        <v>#N/A</v>
      </c>
      <c r="Z87" s="520" t="e">
        <f>MAX(0,ROUND(Volumes!CD58*CPCTd12,0))</f>
        <v>#N/A</v>
      </c>
      <c r="AA87" s="520" t="e">
        <f>MAX(0,ROUND(Volumes!CE58*CPRVd12,0))</f>
        <v>#N/A</v>
      </c>
      <c r="AB87" s="518" t="e">
        <f t="shared" si="63"/>
        <v>#N/A</v>
      </c>
      <c r="AC87" s="519" t="e">
        <f>MAX(0,ROUND(Volumes!CH58*CPPCd22,0))</f>
        <v>#N/A</v>
      </c>
      <c r="AD87" s="520" t="e">
        <f>MAX(0,ROUND(Volumes!CI58*CPSUd22,0))</f>
        <v>#N/A</v>
      </c>
      <c r="AE87" s="520" t="e">
        <f>MAX(0,ROUND(Volumes!CJ58*CPCTd22,0))</f>
        <v>#N/A</v>
      </c>
      <c r="AF87" s="520" t="e">
        <f>MAX(0,ROUND(Volumes!CK58*CPRVd22,0))</f>
        <v>#N/A</v>
      </c>
      <c r="AG87" s="518" t="e">
        <f t="shared" si="64"/>
        <v>#N/A</v>
      </c>
      <c r="AH87" s="521" t="e">
        <f>MAX(0,ROUND(Volumes!CN58*CPPCd32,0))</f>
        <v>#N/A</v>
      </c>
      <c r="AI87" s="520" t="e">
        <f>MAX(0,ROUND(Volumes!CO58*CPSUd32,0))</f>
        <v>#N/A</v>
      </c>
      <c r="AJ87" s="520" t="e">
        <f>MAX(0,ROUND(Volumes!CP58*CPCTd32,0))</f>
        <v>#N/A</v>
      </c>
      <c r="AK87" s="520" t="e">
        <f>MAX(0,ROUND(Volumes!CQ58*CPRVd32,0))</f>
        <v>#N/A</v>
      </c>
      <c r="AL87" s="517" t="e">
        <f t="shared" si="65"/>
        <v>#N/A</v>
      </c>
    </row>
    <row r="88" spans="2:38" x14ac:dyDescent="0.25">
      <c r="B88" s="152">
        <f t="shared" si="66"/>
        <v>0.9166666666666663</v>
      </c>
      <c r="C88" s="177" t="str">
        <f t="shared" si="54"/>
        <v>YES</v>
      </c>
      <c r="D88" s="516" t="e">
        <f t="shared" si="55"/>
        <v>#N/A</v>
      </c>
      <c r="E88" s="517" t="e">
        <f t="shared" si="56"/>
        <v>#N/A</v>
      </c>
      <c r="F88" s="517" t="e">
        <f t="shared" si="57"/>
        <v>#N/A</v>
      </c>
      <c r="G88" s="517" t="e">
        <f t="shared" si="58"/>
        <v>#N/A</v>
      </c>
      <c r="H88" s="518" t="e">
        <f t="shared" si="59"/>
        <v>#N/A</v>
      </c>
      <c r="I88" s="516" t="e">
        <f>MAX(0,ROUND(Volumes!BV59*CPPCwz2,0))</f>
        <v>#N/A</v>
      </c>
      <c r="J88" s="517" t="e">
        <f>MAX(0,ROUND(Volumes!BW59*CPSUwz2,0))</f>
        <v>#N/A</v>
      </c>
      <c r="K88" s="517" t="e">
        <f>MAX(0,ROUND(Volumes!BX59*CPCTwz2,0))</f>
        <v>#N/A</v>
      </c>
      <c r="L88" s="517" t="e">
        <f>MAX(0,ROUND(Volumes!BY59*CPRVwz2,0))</f>
        <v>#N/A</v>
      </c>
      <c r="M88" s="518" t="e">
        <f t="shared" si="60"/>
        <v>#N/A</v>
      </c>
      <c r="N88" s="519" t="e">
        <f>MAX(0,ROUND((Queuing!Q65/60)*CPPCq2,0))</f>
        <v>#N/A</v>
      </c>
      <c r="O88" s="520" t="e">
        <f>MAX(0,ROUND((Queuing!R65/60)*CPSUq2,0))</f>
        <v>#N/A</v>
      </c>
      <c r="P88" s="520" t="e">
        <f>MAX(0,ROUND((Queuing!S65/60)*CPCTq2,0))</f>
        <v>#N/A</v>
      </c>
      <c r="Q88" s="520" t="e">
        <f>MAX(0,ROUND((Queuing!T65/60)*CPRVq2,0))</f>
        <v>#N/A</v>
      </c>
      <c r="R88" s="518" t="e">
        <f t="shared" si="61"/>
        <v>#N/A</v>
      </c>
      <c r="S88" s="519" t="e">
        <f>MAX(0,ROUND(Volumes!BV59*CPPCf2,0))</f>
        <v>#N/A</v>
      </c>
      <c r="T88" s="520" t="e">
        <f>MAX(0,ROUND(Volumes!BW59*CPSUf2,0))</f>
        <v>#N/A</v>
      </c>
      <c r="U88" s="520" t="e">
        <f>MAX(0,ROUND(Volumes!BX59*CPCTf2,0))</f>
        <v>#N/A</v>
      </c>
      <c r="V88" s="520" t="e">
        <f>MAX(0,ROUND(Volumes!BY59*CPRVf2,0))</f>
        <v>#N/A</v>
      </c>
      <c r="W88" s="518" t="e">
        <f t="shared" si="62"/>
        <v>#N/A</v>
      </c>
      <c r="X88" s="519" t="e">
        <f>MAX(0,ROUND(Volumes!CB59*CPPCd12,0))</f>
        <v>#N/A</v>
      </c>
      <c r="Y88" s="520" t="e">
        <f>MAX(0,ROUND(Volumes!CC59*CPSUd12,0))</f>
        <v>#N/A</v>
      </c>
      <c r="Z88" s="520" t="e">
        <f>MAX(0,ROUND(Volumes!CD59*CPCTd12,0))</f>
        <v>#N/A</v>
      </c>
      <c r="AA88" s="520" t="e">
        <f>MAX(0,ROUND(Volumes!CE59*CPRVd12,0))</f>
        <v>#N/A</v>
      </c>
      <c r="AB88" s="518" t="e">
        <f t="shared" si="63"/>
        <v>#N/A</v>
      </c>
      <c r="AC88" s="519" t="e">
        <f>MAX(0,ROUND(Volumes!CH59*CPPCd22,0))</f>
        <v>#N/A</v>
      </c>
      <c r="AD88" s="520" t="e">
        <f>MAX(0,ROUND(Volumes!CI59*CPSUd22,0))</f>
        <v>#N/A</v>
      </c>
      <c r="AE88" s="520" t="e">
        <f>MAX(0,ROUND(Volumes!CJ59*CPCTd22,0))</f>
        <v>#N/A</v>
      </c>
      <c r="AF88" s="520" t="e">
        <f>MAX(0,ROUND(Volumes!CK59*CPRVd22,0))</f>
        <v>#N/A</v>
      </c>
      <c r="AG88" s="518" t="e">
        <f t="shared" si="64"/>
        <v>#N/A</v>
      </c>
      <c r="AH88" s="521" t="e">
        <f>MAX(0,ROUND(Volumes!CN59*CPPCd32,0))</f>
        <v>#N/A</v>
      </c>
      <c r="AI88" s="520" t="e">
        <f>MAX(0,ROUND(Volumes!CO59*CPSUd32,0))</f>
        <v>#N/A</v>
      </c>
      <c r="AJ88" s="520" t="e">
        <f>MAX(0,ROUND(Volumes!CP59*CPCTd32,0))</f>
        <v>#N/A</v>
      </c>
      <c r="AK88" s="520" t="e">
        <f>MAX(0,ROUND(Volumes!CQ59*CPRVd32,0))</f>
        <v>#N/A</v>
      </c>
      <c r="AL88" s="517" t="e">
        <f t="shared" si="65"/>
        <v>#N/A</v>
      </c>
    </row>
    <row r="89" spans="2:38" x14ac:dyDescent="0.25">
      <c r="B89" s="152">
        <f t="shared" si="66"/>
        <v>0.95833333333333293</v>
      </c>
      <c r="C89" s="177" t="str">
        <f t="shared" si="54"/>
        <v>YES</v>
      </c>
      <c r="D89" s="516" t="e">
        <f t="shared" si="55"/>
        <v>#N/A</v>
      </c>
      <c r="E89" s="517" t="e">
        <f t="shared" si="56"/>
        <v>#N/A</v>
      </c>
      <c r="F89" s="517" t="e">
        <f t="shared" si="57"/>
        <v>#N/A</v>
      </c>
      <c r="G89" s="517" t="e">
        <f t="shared" si="58"/>
        <v>#N/A</v>
      </c>
      <c r="H89" s="518" t="e">
        <f t="shared" si="59"/>
        <v>#N/A</v>
      </c>
      <c r="I89" s="516" t="e">
        <f>MAX(0,ROUND(Volumes!BV60*CPPCwz2,0))</f>
        <v>#N/A</v>
      </c>
      <c r="J89" s="517" t="e">
        <f>MAX(0,ROUND(Volumes!BW60*CPSUwz2,0))</f>
        <v>#N/A</v>
      </c>
      <c r="K89" s="517" t="e">
        <f>MAX(0,ROUND(Volumes!BX60*CPCTwz2,0))</f>
        <v>#N/A</v>
      </c>
      <c r="L89" s="517" t="e">
        <f>MAX(0,ROUND(Volumes!BY60*CPRVwz2,0))</f>
        <v>#N/A</v>
      </c>
      <c r="M89" s="518" t="e">
        <f t="shared" si="60"/>
        <v>#N/A</v>
      </c>
      <c r="N89" s="519" t="e">
        <f>MAX(0,ROUND((Queuing!Q66/60)*CPPCq2,0))</f>
        <v>#N/A</v>
      </c>
      <c r="O89" s="520" t="e">
        <f>MAX(0,ROUND((Queuing!R66/60)*CPSUq2,0))</f>
        <v>#N/A</v>
      </c>
      <c r="P89" s="520" t="e">
        <f>MAX(0,ROUND((Queuing!S66/60)*CPCTq2,0))</f>
        <v>#N/A</v>
      </c>
      <c r="Q89" s="520" t="e">
        <f>MAX(0,ROUND((Queuing!T66/60)*CPRVq2,0))</f>
        <v>#N/A</v>
      </c>
      <c r="R89" s="518" t="e">
        <f t="shared" si="61"/>
        <v>#N/A</v>
      </c>
      <c r="S89" s="519" t="e">
        <f>MAX(0,ROUND(Volumes!BV60*CPPCf2,0))</f>
        <v>#N/A</v>
      </c>
      <c r="T89" s="520" t="e">
        <f>MAX(0,ROUND(Volumes!BW60*CPSUf2,0))</f>
        <v>#N/A</v>
      </c>
      <c r="U89" s="520" t="e">
        <f>MAX(0,ROUND(Volumes!BX60*CPCTf2,0))</f>
        <v>#N/A</v>
      </c>
      <c r="V89" s="520" t="e">
        <f>MAX(0,ROUND(Volumes!BY60*CPRVf2,0))</f>
        <v>#N/A</v>
      </c>
      <c r="W89" s="518" t="e">
        <f t="shared" si="62"/>
        <v>#N/A</v>
      </c>
      <c r="X89" s="519" t="e">
        <f>MAX(0,ROUND(Volumes!CB60*CPPCd12,0))</f>
        <v>#N/A</v>
      </c>
      <c r="Y89" s="520" t="e">
        <f>MAX(0,ROUND(Volumes!CC60*CPSUd12,0))</f>
        <v>#N/A</v>
      </c>
      <c r="Z89" s="520" t="e">
        <f>MAX(0,ROUND(Volumes!CD60*CPCTd12,0))</f>
        <v>#N/A</v>
      </c>
      <c r="AA89" s="520" t="e">
        <f>MAX(0,ROUND(Volumes!CE60*CPRVd12,0))</f>
        <v>#N/A</v>
      </c>
      <c r="AB89" s="518" t="e">
        <f t="shared" si="63"/>
        <v>#N/A</v>
      </c>
      <c r="AC89" s="519" t="e">
        <f>MAX(0,ROUND(Volumes!CH60*CPPCd22,0))</f>
        <v>#N/A</v>
      </c>
      <c r="AD89" s="520" t="e">
        <f>MAX(0,ROUND(Volumes!CI60*CPSUd22,0))</f>
        <v>#N/A</v>
      </c>
      <c r="AE89" s="520" t="e">
        <f>MAX(0,ROUND(Volumes!CJ60*CPCTd22,0))</f>
        <v>#N/A</v>
      </c>
      <c r="AF89" s="520" t="e">
        <f>MAX(0,ROUND(Volumes!CK60*CPRVd22,0))</f>
        <v>#N/A</v>
      </c>
      <c r="AG89" s="518" t="e">
        <f t="shared" si="64"/>
        <v>#N/A</v>
      </c>
      <c r="AH89" s="521" t="e">
        <f>MAX(0,ROUND(Volumes!CN60*CPPCd32,0))</f>
        <v>#N/A</v>
      </c>
      <c r="AI89" s="520" t="e">
        <f>MAX(0,ROUND(Volumes!CO60*CPSUd32,0))</f>
        <v>#N/A</v>
      </c>
      <c r="AJ89" s="520" t="e">
        <f>MAX(0,ROUND(Volumes!CP60*CPCTd32,0))</f>
        <v>#N/A</v>
      </c>
      <c r="AK89" s="520" t="e">
        <f>MAX(0,ROUND(Volumes!CQ60*CPRVd32,0))</f>
        <v>#N/A</v>
      </c>
      <c r="AL89" s="517" t="e">
        <f t="shared" si="65"/>
        <v>#N/A</v>
      </c>
    </row>
    <row r="90" spans="2:38" s="35" customFormat="1" x14ac:dyDescent="0.25">
      <c r="B90" s="1191" t="s">
        <v>844</v>
      </c>
      <c r="C90" s="1196"/>
      <c r="D90" s="524" t="e">
        <f t="shared" ref="D90:AB90" si="67">SUM(D66:D89)</f>
        <v>#N/A</v>
      </c>
      <c r="E90" s="525" t="e">
        <f t="shared" si="67"/>
        <v>#N/A</v>
      </c>
      <c r="F90" s="525" t="e">
        <f t="shared" si="67"/>
        <v>#N/A</v>
      </c>
      <c r="G90" s="525" t="e">
        <f t="shared" si="67"/>
        <v>#N/A</v>
      </c>
      <c r="H90" s="526" t="e">
        <f t="shared" si="67"/>
        <v>#N/A</v>
      </c>
      <c r="I90" s="524" t="e">
        <f t="shared" si="67"/>
        <v>#N/A</v>
      </c>
      <c r="J90" s="525" t="e">
        <f t="shared" si="67"/>
        <v>#N/A</v>
      </c>
      <c r="K90" s="525" t="e">
        <f t="shared" si="67"/>
        <v>#N/A</v>
      </c>
      <c r="L90" s="525" t="e">
        <f t="shared" si="67"/>
        <v>#N/A</v>
      </c>
      <c r="M90" s="526" t="e">
        <f t="shared" si="67"/>
        <v>#N/A</v>
      </c>
      <c r="N90" s="524" t="e">
        <f t="shared" si="67"/>
        <v>#N/A</v>
      </c>
      <c r="O90" s="525" t="e">
        <f t="shared" si="67"/>
        <v>#N/A</v>
      </c>
      <c r="P90" s="525" t="e">
        <f t="shared" si="67"/>
        <v>#N/A</v>
      </c>
      <c r="Q90" s="525" t="e">
        <f t="shared" si="67"/>
        <v>#N/A</v>
      </c>
      <c r="R90" s="526" t="e">
        <f t="shared" si="67"/>
        <v>#N/A</v>
      </c>
      <c r="S90" s="524" t="e">
        <f t="shared" si="67"/>
        <v>#N/A</v>
      </c>
      <c r="T90" s="525" t="e">
        <f t="shared" si="67"/>
        <v>#N/A</v>
      </c>
      <c r="U90" s="525" t="e">
        <f t="shared" si="67"/>
        <v>#N/A</v>
      </c>
      <c r="V90" s="525" t="e">
        <f t="shared" si="67"/>
        <v>#N/A</v>
      </c>
      <c r="W90" s="526" t="e">
        <f t="shared" si="67"/>
        <v>#N/A</v>
      </c>
      <c r="X90" s="524" t="e">
        <f>SUM(X66:X89)</f>
        <v>#N/A</v>
      </c>
      <c r="Y90" s="525" t="e">
        <f t="shared" si="67"/>
        <v>#N/A</v>
      </c>
      <c r="Z90" s="525" t="e">
        <f t="shared" si="67"/>
        <v>#N/A</v>
      </c>
      <c r="AA90" s="525" t="e">
        <f t="shared" si="67"/>
        <v>#N/A</v>
      </c>
      <c r="AB90" s="526" t="e">
        <f t="shared" si="67"/>
        <v>#N/A</v>
      </c>
      <c r="AC90" s="524" t="e">
        <f>SUM(AC66:AC89)</f>
        <v>#N/A</v>
      </c>
      <c r="AD90" s="525" t="e">
        <f t="shared" ref="AD90" si="68">SUM(AD66:AD89)</f>
        <v>#N/A</v>
      </c>
      <c r="AE90" s="525" t="e">
        <f t="shared" ref="AE90" si="69">SUM(AE66:AE89)</f>
        <v>#N/A</v>
      </c>
      <c r="AF90" s="525" t="e">
        <f t="shared" ref="AF90" si="70">SUM(AF66:AF89)</f>
        <v>#N/A</v>
      </c>
      <c r="AG90" s="526" t="e">
        <f t="shared" ref="AG90" si="71">SUM(AG66:AG89)</f>
        <v>#N/A</v>
      </c>
      <c r="AH90" s="524" t="e">
        <f>SUM(AH66:AH89)</f>
        <v>#N/A</v>
      </c>
      <c r="AI90" s="525" t="e">
        <f t="shared" ref="AI90" si="72">SUM(AI66:AI89)</f>
        <v>#N/A</v>
      </c>
      <c r="AJ90" s="525" t="e">
        <f t="shared" ref="AJ90" si="73">SUM(AJ66:AJ89)</f>
        <v>#N/A</v>
      </c>
      <c r="AK90" s="525" t="e">
        <f t="shared" ref="AK90" si="74">SUM(AK66:AK89)</f>
        <v>#N/A</v>
      </c>
      <c r="AL90" s="525" t="e">
        <f t="shared" ref="AL90" si="75">SUM(AL66:AL89)</f>
        <v>#N/A</v>
      </c>
    </row>
    <row r="91" spans="2:38" x14ac:dyDescent="0.25">
      <c r="B91" s="1191" t="s">
        <v>528</v>
      </c>
      <c r="C91" s="1192"/>
      <c r="D91" s="524" t="e">
        <f>SUMIF($C66:$C89,"YES",D66:D89)</f>
        <v>#N/A</v>
      </c>
      <c r="E91" s="525" t="e">
        <f t="shared" ref="E91:AB91" si="76">SUMIF($C66:$C89,"YES",E66:E89)</f>
        <v>#N/A</v>
      </c>
      <c r="F91" s="525" t="e">
        <f t="shared" si="76"/>
        <v>#N/A</v>
      </c>
      <c r="G91" s="525" t="e">
        <f t="shared" si="76"/>
        <v>#N/A</v>
      </c>
      <c r="H91" s="526" t="e">
        <f t="shared" si="76"/>
        <v>#N/A</v>
      </c>
      <c r="I91" s="524" t="e">
        <f t="shared" si="76"/>
        <v>#N/A</v>
      </c>
      <c r="J91" s="525" t="e">
        <f t="shared" si="76"/>
        <v>#N/A</v>
      </c>
      <c r="K91" s="525" t="e">
        <f t="shared" si="76"/>
        <v>#N/A</v>
      </c>
      <c r="L91" s="525" t="e">
        <f t="shared" si="76"/>
        <v>#N/A</v>
      </c>
      <c r="M91" s="526" t="e">
        <f t="shared" si="76"/>
        <v>#N/A</v>
      </c>
      <c r="N91" s="524" t="e">
        <f t="shared" si="76"/>
        <v>#N/A</v>
      </c>
      <c r="O91" s="525" t="e">
        <f t="shared" si="76"/>
        <v>#N/A</v>
      </c>
      <c r="P91" s="525" t="e">
        <f t="shared" si="76"/>
        <v>#N/A</v>
      </c>
      <c r="Q91" s="525" t="e">
        <f t="shared" si="76"/>
        <v>#N/A</v>
      </c>
      <c r="R91" s="526" t="e">
        <f t="shared" si="76"/>
        <v>#N/A</v>
      </c>
      <c r="S91" s="524" t="e">
        <f t="shared" si="76"/>
        <v>#N/A</v>
      </c>
      <c r="T91" s="525" t="e">
        <f t="shared" si="76"/>
        <v>#N/A</v>
      </c>
      <c r="U91" s="525" t="e">
        <f t="shared" si="76"/>
        <v>#N/A</v>
      </c>
      <c r="V91" s="525" t="e">
        <f t="shared" si="76"/>
        <v>#N/A</v>
      </c>
      <c r="W91" s="526" t="e">
        <f t="shared" si="76"/>
        <v>#N/A</v>
      </c>
      <c r="X91" s="524" t="e">
        <f t="shared" si="76"/>
        <v>#N/A</v>
      </c>
      <c r="Y91" s="525" t="e">
        <f t="shared" si="76"/>
        <v>#N/A</v>
      </c>
      <c r="Z91" s="525" t="e">
        <f t="shared" si="76"/>
        <v>#N/A</v>
      </c>
      <c r="AA91" s="525" t="e">
        <f t="shared" si="76"/>
        <v>#N/A</v>
      </c>
      <c r="AB91" s="526" t="e">
        <f t="shared" si="76"/>
        <v>#N/A</v>
      </c>
      <c r="AC91" s="524" t="e">
        <f t="shared" ref="AC91:AG91" si="77">SUMIF($C66:$C89,"YES",AC66:AC89)</f>
        <v>#N/A</v>
      </c>
      <c r="AD91" s="525" t="e">
        <f t="shared" si="77"/>
        <v>#N/A</v>
      </c>
      <c r="AE91" s="525" t="e">
        <f t="shared" si="77"/>
        <v>#N/A</v>
      </c>
      <c r="AF91" s="525" t="e">
        <f t="shared" si="77"/>
        <v>#N/A</v>
      </c>
      <c r="AG91" s="526" t="e">
        <f t="shared" si="77"/>
        <v>#N/A</v>
      </c>
      <c r="AH91" s="524" t="e">
        <f t="shared" ref="AH91:AL91" si="78">SUMIF($C66:$C89,"YES",AH66:AH89)</f>
        <v>#N/A</v>
      </c>
      <c r="AI91" s="525" t="e">
        <f t="shared" si="78"/>
        <v>#N/A</v>
      </c>
      <c r="AJ91" s="525" t="e">
        <f t="shared" si="78"/>
        <v>#N/A</v>
      </c>
      <c r="AK91" s="525" t="e">
        <f t="shared" si="78"/>
        <v>#N/A</v>
      </c>
      <c r="AL91" s="525" t="e">
        <f t="shared" si="78"/>
        <v>#N/A</v>
      </c>
    </row>
    <row r="92" spans="2:38" x14ac:dyDescent="0.25">
      <c r="B92" s="1178">
        <v>1</v>
      </c>
      <c r="C92" s="1179"/>
      <c r="D92" s="524" t="str">
        <f t="shared" ref="D92:AL92" ca="1" si="79">IF(HoursWZ2+$B92&gt;24,"-",OFFSET($C$64,HoursWZ2+$B92+1,D$65))</f>
        <v>-</v>
      </c>
      <c r="E92" s="525" t="str">
        <f t="shared" ca="1" si="79"/>
        <v>-</v>
      </c>
      <c r="F92" s="525" t="str">
        <f t="shared" ca="1" si="79"/>
        <v>-</v>
      </c>
      <c r="G92" s="525" t="str">
        <f t="shared" ca="1" si="79"/>
        <v>-</v>
      </c>
      <c r="H92" s="525" t="str">
        <f t="shared" ca="1" si="79"/>
        <v>-</v>
      </c>
      <c r="I92" s="524" t="str">
        <f t="shared" ca="1" si="79"/>
        <v>-</v>
      </c>
      <c r="J92" s="525" t="str">
        <f t="shared" ca="1" si="79"/>
        <v>-</v>
      </c>
      <c r="K92" s="525" t="str">
        <f t="shared" ca="1" si="79"/>
        <v>-</v>
      </c>
      <c r="L92" s="525" t="str">
        <f t="shared" ca="1" si="79"/>
        <v>-</v>
      </c>
      <c r="M92" s="525" t="str">
        <f t="shared" ca="1" si="79"/>
        <v>-</v>
      </c>
      <c r="N92" s="524" t="str">
        <f t="shared" ca="1" si="79"/>
        <v>-</v>
      </c>
      <c r="O92" s="525" t="str">
        <f t="shared" ca="1" si="79"/>
        <v>-</v>
      </c>
      <c r="P92" s="525" t="str">
        <f t="shared" ca="1" si="79"/>
        <v>-</v>
      </c>
      <c r="Q92" s="525" t="str">
        <f t="shared" ca="1" si="79"/>
        <v>-</v>
      </c>
      <c r="R92" s="525" t="str">
        <f t="shared" ca="1" si="79"/>
        <v>-</v>
      </c>
      <c r="S92" s="524" t="str">
        <f t="shared" ca="1" si="79"/>
        <v>-</v>
      </c>
      <c r="T92" s="525" t="str">
        <f t="shared" ca="1" si="79"/>
        <v>-</v>
      </c>
      <c r="U92" s="525" t="str">
        <f t="shared" ca="1" si="79"/>
        <v>-</v>
      </c>
      <c r="V92" s="525" t="str">
        <f t="shared" ca="1" si="79"/>
        <v>-</v>
      </c>
      <c r="W92" s="525" t="str">
        <f t="shared" ca="1" si="79"/>
        <v>-</v>
      </c>
      <c r="X92" s="524" t="str">
        <f t="shared" ca="1" si="79"/>
        <v>-</v>
      </c>
      <c r="Y92" s="525" t="str">
        <f t="shared" ca="1" si="79"/>
        <v>-</v>
      </c>
      <c r="Z92" s="525" t="str">
        <f t="shared" ca="1" si="79"/>
        <v>-</v>
      </c>
      <c r="AA92" s="525" t="str">
        <f t="shared" ca="1" si="79"/>
        <v>-</v>
      </c>
      <c r="AB92" s="525" t="str">
        <f t="shared" ca="1" si="79"/>
        <v>-</v>
      </c>
      <c r="AC92" s="524" t="str">
        <f t="shared" ca="1" si="79"/>
        <v>-</v>
      </c>
      <c r="AD92" s="525" t="str">
        <f t="shared" ca="1" si="79"/>
        <v>-</v>
      </c>
      <c r="AE92" s="525" t="str">
        <f t="shared" ca="1" si="79"/>
        <v>-</v>
      </c>
      <c r="AF92" s="525" t="str">
        <f t="shared" ca="1" si="79"/>
        <v>-</v>
      </c>
      <c r="AG92" s="525" t="str">
        <f t="shared" ca="1" si="79"/>
        <v>-</v>
      </c>
      <c r="AH92" s="524" t="str">
        <f t="shared" ca="1" si="79"/>
        <v>-</v>
      </c>
      <c r="AI92" s="525" t="str">
        <f t="shared" ca="1" si="79"/>
        <v>-</v>
      </c>
      <c r="AJ92" s="525" t="str">
        <f t="shared" ca="1" si="79"/>
        <v>-</v>
      </c>
      <c r="AK92" s="525" t="str">
        <f t="shared" ca="1" si="79"/>
        <v>-</v>
      </c>
      <c r="AL92" s="525" t="str">
        <f t="shared" ca="1" si="79"/>
        <v>-</v>
      </c>
    </row>
    <row r="93" spans="2:38" x14ac:dyDescent="0.25">
      <c r="B93" s="1176">
        <v>2</v>
      </c>
      <c r="C93" s="1177"/>
      <c r="D93" s="524" t="str">
        <f t="shared" ref="D93:D115" ca="1" si="80">IF(HoursWZ2+$B93&gt;24,"-",OFFSET($C$64,HoursWZ2+$B93+1,D$65)+D92)</f>
        <v>-</v>
      </c>
      <c r="E93" s="525" t="str">
        <f t="shared" ref="E93:E115" ca="1" si="81">IF(HoursWZ2+$B93&gt;24,"-",OFFSET($C$64,HoursWZ2+$B93+1,E$65)+E92)</f>
        <v>-</v>
      </c>
      <c r="F93" s="525" t="str">
        <f t="shared" ref="F93:F115" ca="1" si="82">IF(HoursWZ2+$B93&gt;24,"-",OFFSET($C$64,HoursWZ2+$B93+1,F$65)+F92)</f>
        <v>-</v>
      </c>
      <c r="G93" s="525" t="str">
        <f t="shared" ref="G93:G115" ca="1" si="83">IF(HoursWZ2+$B93&gt;24,"-",OFFSET($C$64,HoursWZ2+$B93+1,G$65)+G92)</f>
        <v>-</v>
      </c>
      <c r="H93" s="525" t="str">
        <f t="shared" ref="H93:H115" ca="1" si="84">IF(HoursWZ2+$B93&gt;24,"-",OFFSET($C$64,HoursWZ2+$B93+1,H$65)+H92)</f>
        <v>-</v>
      </c>
      <c r="I93" s="524" t="str">
        <f t="shared" ref="I93:I115" ca="1" si="85">IF(HoursWZ2+$B93&gt;24,"-",OFFSET($C$64,HoursWZ2+$B93+1,I$65)+I92)</f>
        <v>-</v>
      </c>
      <c r="J93" s="525" t="str">
        <f t="shared" ref="J93:J115" ca="1" si="86">IF(HoursWZ2+$B93&gt;24,"-",OFFSET($C$64,HoursWZ2+$B93+1,J$65)+J92)</f>
        <v>-</v>
      </c>
      <c r="K93" s="525" t="str">
        <f t="shared" ref="K93:K115" ca="1" si="87">IF(HoursWZ2+$B93&gt;24,"-",OFFSET($C$64,HoursWZ2+$B93+1,K$65)+K92)</f>
        <v>-</v>
      </c>
      <c r="L93" s="525" t="str">
        <f t="shared" ref="L93:L115" ca="1" si="88">IF(HoursWZ2+$B93&gt;24,"-",OFFSET($C$64,HoursWZ2+$B93+1,L$65)+L92)</f>
        <v>-</v>
      </c>
      <c r="M93" s="525" t="str">
        <f t="shared" ref="M93:M115" ca="1" si="89">IF(HoursWZ2+$B93&gt;24,"-",OFFSET($C$64,HoursWZ2+$B93+1,M$65)+M92)</f>
        <v>-</v>
      </c>
      <c r="N93" s="524" t="str">
        <f t="shared" ref="N93:N115" ca="1" si="90">IF(HoursWZ2+$B93&gt;24,"-",OFFSET($C$64,HoursWZ2+$B93+1,N$65)+N92)</f>
        <v>-</v>
      </c>
      <c r="O93" s="525" t="str">
        <f t="shared" ref="O93:O115" ca="1" si="91">IF(HoursWZ2+$B93&gt;24,"-",OFFSET($C$64,HoursWZ2+$B93+1,O$65)+O92)</f>
        <v>-</v>
      </c>
      <c r="P93" s="525" t="str">
        <f t="shared" ref="P93:P115" ca="1" si="92">IF(HoursWZ2+$B93&gt;24,"-",OFFSET($C$64,HoursWZ2+$B93+1,P$65)+P92)</f>
        <v>-</v>
      </c>
      <c r="Q93" s="525" t="str">
        <f t="shared" ref="Q93:Q115" ca="1" si="93">IF(HoursWZ2+$B93&gt;24,"-",OFFSET($C$64,HoursWZ2+$B93+1,Q$65)+Q92)</f>
        <v>-</v>
      </c>
      <c r="R93" s="525" t="str">
        <f t="shared" ref="R93:R115" ca="1" si="94">IF(HoursWZ2+$B93&gt;24,"-",OFFSET($C$64,HoursWZ2+$B93+1,R$65)+R92)</f>
        <v>-</v>
      </c>
      <c r="S93" s="524" t="str">
        <f t="shared" ref="S93:S115" ca="1" si="95">IF(HoursWZ2+$B93&gt;24,"-",OFFSET($C$64,HoursWZ2+$B93+1,S$65)+S92)</f>
        <v>-</v>
      </c>
      <c r="T93" s="525" t="str">
        <f t="shared" ref="T93:T115" ca="1" si="96">IF(HoursWZ2+$B93&gt;24,"-",OFFSET($C$64,HoursWZ2+$B93+1,T$65)+T92)</f>
        <v>-</v>
      </c>
      <c r="U93" s="525" t="str">
        <f t="shared" ref="U93:U115" ca="1" si="97">IF(HoursWZ2+$B93&gt;24,"-",OFFSET($C$64,HoursWZ2+$B93+1,U$65)+U92)</f>
        <v>-</v>
      </c>
      <c r="V93" s="525" t="str">
        <f t="shared" ref="V93:V115" ca="1" si="98">IF(HoursWZ2+$B93&gt;24,"-",OFFSET($C$64,HoursWZ2+$B93+1,V$65)+V92)</f>
        <v>-</v>
      </c>
      <c r="W93" s="525" t="str">
        <f t="shared" ref="W93:W115" ca="1" si="99">IF(HoursWZ2+$B93&gt;24,"-",OFFSET($C$64,HoursWZ2+$B93+1,W$65)+W92)</f>
        <v>-</v>
      </c>
      <c r="X93" s="524" t="str">
        <f t="shared" ref="X93:X115" ca="1" si="100">IF(HoursWZ2+$B93&gt;24,"-",OFFSET($C$64,HoursWZ2+$B93+1,X$65)+X92)</f>
        <v>-</v>
      </c>
      <c r="Y93" s="525" t="str">
        <f t="shared" ref="Y93:Y115" ca="1" si="101">IF(HoursWZ2+$B93&gt;24,"-",OFFSET($C$64,HoursWZ2+$B93+1,Y$65)+Y92)</f>
        <v>-</v>
      </c>
      <c r="Z93" s="525" t="str">
        <f t="shared" ref="Z93:Z115" ca="1" si="102">IF(HoursWZ2+$B93&gt;24,"-",OFFSET($C$64,HoursWZ2+$B93+1,Z$65)+Z92)</f>
        <v>-</v>
      </c>
      <c r="AA93" s="525" t="str">
        <f t="shared" ref="AA93:AA115" ca="1" si="103">IF(HoursWZ2+$B93&gt;24,"-",OFFSET($C$64,HoursWZ2+$B93+1,AA$65)+AA92)</f>
        <v>-</v>
      </c>
      <c r="AB93" s="525" t="str">
        <f t="shared" ref="AB93:AB115" ca="1" si="104">IF(HoursWZ2+$B93&gt;24,"-",OFFSET($C$64,HoursWZ2+$B93+1,AB$65)+AB92)</f>
        <v>-</v>
      </c>
      <c r="AC93" s="524" t="str">
        <f t="shared" ref="AC93:AC115" ca="1" si="105">IF(HoursWZ2+$B93&gt;24,"-",OFFSET($C$64,HoursWZ2+$B93+1,AC$65)+AC92)</f>
        <v>-</v>
      </c>
      <c r="AD93" s="525" t="str">
        <f t="shared" ref="AD93:AD115" ca="1" si="106">IF(HoursWZ2+$B93&gt;24,"-",OFFSET($C$64,HoursWZ2+$B93+1,AD$65)+AD92)</f>
        <v>-</v>
      </c>
      <c r="AE93" s="525" t="str">
        <f t="shared" ref="AE93:AE115" ca="1" si="107">IF(HoursWZ2+$B93&gt;24,"-",OFFSET($C$64,HoursWZ2+$B93+1,AE$65)+AE92)</f>
        <v>-</v>
      </c>
      <c r="AF93" s="525" t="str">
        <f t="shared" ref="AF93:AF115" ca="1" si="108">IF(HoursWZ2+$B93&gt;24,"-",OFFSET($C$64,HoursWZ2+$B93+1,AF$65)+AF92)</f>
        <v>-</v>
      </c>
      <c r="AG93" s="525" t="str">
        <f t="shared" ref="AG93:AG115" ca="1" si="109">IF(HoursWZ2+$B93&gt;24,"-",OFFSET($C$64,HoursWZ2+$B93+1,AG$65)+AG92)</f>
        <v>-</v>
      </c>
      <c r="AH93" s="524" t="str">
        <f t="shared" ref="AH93:AH115" ca="1" si="110">IF(HoursWZ2+$B93&gt;24,"-",OFFSET($C$64,HoursWZ2+$B93+1,AH$65)+AH92)</f>
        <v>-</v>
      </c>
      <c r="AI93" s="525" t="str">
        <f t="shared" ref="AI93:AI115" ca="1" si="111">IF(HoursWZ2+$B93&gt;24,"-",OFFSET($C$64,HoursWZ2+$B93+1,AI$65)+AI92)</f>
        <v>-</v>
      </c>
      <c r="AJ93" s="525" t="str">
        <f t="shared" ref="AJ93:AJ115" ca="1" si="112">IF(HoursWZ2+$B93&gt;24,"-",OFFSET($C$64,HoursWZ2+$B93+1,AJ$65)+AJ92)</f>
        <v>-</v>
      </c>
      <c r="AK93" s="525" t="str">
        <f t="shared" ref="AK93:AK115" ca="1" si="113">IF(HoursWZ2+$B93&gt;24,"-",OFFSET($C$64,HoursWZ2+$B93+1,AK$65)+AK92)</f>
        <v>-</v>
      </c>
      <c r="AL93" s="525" t="str">
        <f t="shared" ref="AL93:AL115" ca="1" si="114">IF(HoursWZ2+$B93&gt;24,"-",OFFSET($C$64,HoursWZ2+$B93+1,AL$65)+AL92)</f>
        <v>-</v>
      </c>
    </row>
    <row r="94" spans="2:38" x14ac:dyDescent="0.25">
      <c r="B94" s="1176">
        <v>3</v>
      </c>
      <c r="C94" s="1177"/>
      <c r="D94" s="524" t="str">
        <f t="shared" ca="1" si="80"/>
        <v>-</v>
      </c>
      <c r="E94" s="525" t="str">
        <f t="shared" ca="1" si="81"/>
        <v>-</v>
      </c>
      <c r="F94" s="525" t="str">
        <f t="shared" ca="1" si="82"/>
        <v>-</v>
      </c>
      <c r="G94" s="525" t="str">
        <f t="shared" ca="1" si="83"/>
        <v>-</v>
      </c>
      <c r="H94" s="525" t="str">
        <f t="shared" ca="1" si="84"/>
        <v>-</v>
      </c>
      <c r="I94" s="524" t="str">
        <f t="shared" ca="1" si="85"/>
        <v>-</v>
      </c>
      <c r="J94" s="525" t="str">
        <f t="shared" ca="1" si="86"/>
        <v>-</v>
      </c>
      <c r="K94" s="525" t="str">
        <f t="shared" ca="1" si="87"/>
        <v>-</v>
      </c>
      <c r="L94" s="525" t="str">
        <f t="shared" ca="1" si="88"/>
        <v>-</v>
      </c>
      <c r="M94" s="525" t="str">
        <f t="shared" ca="1" si="89"/>
        <v>-</v>
      </c>
      <c r="N94" s="524" t="str">
        <f t="shared" ca="1" si="90"/>
        <v>-</v>
      </c>
      <c r="O94" s="525" t="str">
        <f t="shared" ca="1" si="91"/>
        <v>-</v>
      </c>
      <c r="P94" s="525" t="str">
        <f t="shared" ca="1" si="92"/>
        <v>-</v>
      </c>
      <c r="Q94" s="525" t="str">
        <f t="shared" ca="1" si="93"/>
        <v>-</v>
      </c>
      <c r="R94" s="525" t="str">
        <f t="shared" ca="1" si="94"/>
        <v>-</v>
      </c>
      <c r="S94" s="524" t="str">
        <f t="shared" ca="1" si="95"/>
        <v>-</v>
      </c>
      <c r="T94" s="525" t="str">
        <f t="shared" ca="1" si="96"/>
        <v>-</v>
      </c>
      <c r="U94" s="525" t="str">
        <f t="shared" ca="1" si="97"/>
        <v>-</v>
      </c>
      <c r="V94" s="525" t="str">
        <f t="shared" ca="1" si="98"/>
        <v>-</v>
      </c>
      <c r="W94" s="525" t="str">
        <f t="shared" ca="1" si="99"/>
        <v>-</v>
      </c>
      <c r="X94" s="524" t="str">
        <f t="shared" ca="1" si="100"/>
        <v>-</v>
      </c>
      <c r="Y94" s="525" t="str">
        <f t="shared" ca="1" si="101"/>
        <v>-</v>
      </c>
      <c r="Z94" s="525" t="str">
        <f t="shared" ca="1" si="102"/>
        <v>-</v>
      </c>
      <c r="AA94" s="525" t="str">
        <f t="shared" ca="1" si="103"/>
        <v>-</v>
      </c>
      <c r="AB94" s="525" t="str">
        <f t="shared" ca="1" si="104"/>
        <v>-</v>
      </c>
      <c r="AC94" s="524" t="str">
        <f t="shared" ca="1" si="105"/>
        <v>-</v>
      </c>
      <c r="AD94" s="525" t="str">
        <f t="shared" ca="1" si="106"/>
        <v>-</v>
      </c>
      <c r="AE94" s="525" t="str">
        <f t="shared" ca="1" si="107"/>
        <v>-</v>
      </c>
      <c r="AF94" s="525" t="str">
        <f t="shared" ca="1" si="108"/>
        <v>-</v>
      </c>
      <c r="AG94" s="525" t="str">
        <f t="shared" ca="1" si="109"/>
        <v>-</v>
      </c>
      <c r="AH94" s="524" t="str">
        <f t="shared" ca="1" si="110"/>
        <v>-</v>
      </c>
      <c r="AI94" s="525" t="str">
        <f t="shared" ca="1" si="111"/>
        <v>-</v>
      </c>
      <c r="AJ94" s="525" t="str">
        <f t="shared" ca="1" si="112"/>
        <v>-</v>
      </c>
      <c r="AK94" s="525" t="str">
        <f t="shared" ca="1" si="113"/>
        <v>-</v>
      </c>
      <c r="AL94" s="525" t="str">
        <f t="shared" ca="1" si="114"/>
        <v>-</v>
      </c>
    </row>
    <row r="95" spans="2:38" x14ac:dyDescent="0.25">
      <c r="B95" s="1176">
        <v>4</v>
      </c>
      <c r="C95" s="1177"/>
      <c r="D95" s="524" t="str">
        <f t="shared" ca="1" si="80"/>
        <v>-</v>
      </c>
      <c r="E95" s="525" t="str">
        <f t="shared" ca="1" si="81"/>
        <v>-</v>
      </c>
      <c r="F95" s="525" t="str">
        <f t="shared" ca="1" si="82"/>
        <v>-</v>
      </c>
      <c r="G95" s="525" t="str">
        <f t="shared" ca="1" si="83"/>
        <v>-</v>
      </c>
      <c r="H95" s="525" t="str">
        <f t="shared" ca="1" si="84"/>
        <v>-</v>
      </c>
      <c r="I95" s="524" t="str">
        <f t="shared" ca="1" si="85"/>
        <v>-</v>
      </c>
      <c r="J95" s="525" t="str">
        <f t="shared" ca="1" si="86"/>
        <v>-</v>
      </c>
      <c r="K95" s="525" t="str">
        <f t="shared" ca="1" si="87"/>
        <v>-</v>
      </c>
      <c r="L95" s="525" t="str">
        <f t="shared" ca="1" si="88"/>
        <v>-</v>
      </c>
      <c r="M95" s="525" t="str">
        <f t="shared" ca="1" si="89"/>
        <v>-</v>
      </c>
      <c r="N95" s="524" t="str">
        <f t="shared" ca="1" si="90"/>
        <v>-</v>
      </c>
      <c r="O95" s="525" t="str">
        <f t="shared" ca="1" si="91"/>
        <v>-</v>
      </c>
      <c r="P95" s="525" t="str">
        <f t="shared" ca="1" si="92"/>
        <v>-</v>
      </c>
      <c r="Q95" s="525" t="str">
        <f t="shared" ca="1" si="93"/>
        <v>-</v>
      </c>
      <c r="R95" s="525" t="str">
        <f t="shared" ca="1" si="94"/>
        <v>-</v>
      </c>
      <c r="S95" s="524" t="str">
        <f t="shared" ca="1" si="95"/>
        <v>-</v>
      </c>
      <c r="T95" s="525" t="str">
        <f t="shared" ca="1" si="96"/>
        <v>-</v>
      </c>
      <c r="U95" s="525" t="str">
        <f t="shared" ca="1" si="97"/>
        <v>-</v>
      </c>
      <c r="V95" s="525" t="str">
        <f t="shared" ca="1" si="98"/>
        <v>-</v>
      </c>
      <c r="W95" s="525" t="str">
        <f t="shared" ca="1" si="99"/>
        <v>-</v>
      </c>
      <c r="X95" s="524" t="str">
        <f t="shared" ca="1" si="100"/>
        <v>-</v>
      </c>
      <c r="Y95" s="525" t="str">
        <f t="shared" ca="1" si="101"/>
        <v>-</v>
      </c>
      <c r="Z95" s="525" t="str">
        <f t="shared" ca="1" si="102"/>
        <v>-</v>
      </c>
      <c r="AA95" s="525" t="str">
        <f t="shared" ca="1" si="103"/>
        <v>-</v>
      </c>
      <c r="AB95" s="525" t="str">
        <f t="shared" ca="1" si="104"/>
        <v>-</v>
      </c>
      <c r="AC95" s="524" t="str">
        <f t="shared" ca="1" si="105"/>
        <v>-</v>
      </c>
      <c r="AD95" s="525" t="str">
        <f t="shared" ca="1" si="106"/>
        <v>-</v>
      </c>
      <c r="AE95" s="525" t="str">
        <f t="shared" ca="1" si="107"/>
        <v>-</v>
      </c>
      <c r="AF95" s="525" t="str">
        <f t="shared" ca="1" si="108"/>
        <v>-</v>
      </c>
      <c r="AG95" s="525" t="str">
        <f t="shared" ca="1" si="109"/>
        <v>-</v>
      </c>
      <c r="AH95" s="524" t="str">
        <f t="shared" ca="1" si="110"/>
        <v>-</v>
      </c>
      <c r="AI95" s="525" t="str">
        <f t="shared" ca="1" si="111"/>
        <v>-</v>
      </c>
      <c r="AJ95" s="525" t="str">
        <f t="shared" ca="1" si="112"/>
        <v>-</v>
      </c>
      <c r="AK95" s="525" t="str">
        <f t="shared" ca="1" si="113"/>
        <v>-</v>
      </c>
      <c r="AL95" s="525" t="str">
        <f t="shared" ca="1" si="114"/>
        <v>-</v>
      </c>
    </row>
    <row r="96" spans="2:38" x14ac:dyDescent="0.25">
      <c r="B96" s="1176">
        <v>5</v>
      </c>
      <c r="C96" s="1177"/>
      <c r="D96" s="524" t="str">
        <f t="shared" ca="1" si="80"/>
        <v>-</v>
      </c>
      <c r="E96" s="525" t="str">
        <f t="shared" ca="1" si="81"/>
        <v>-</v>
      </c>
      <c r="F96" s="525" t="str">
        <f t="shared" ca="1" si="82"/>
        <v>-</v>
      </c>
      <c r="G96" s="525" t="str">
        <f t="shared" ca="1" si="83"/>
        <v>-</v>
      </c>
      <c r="H96" s="525" t="str">
        <f t="shared" ca="1" si="84"/>
        <v>-</v>
      </c>
      <c r="I96" s="524" t="str">
        <f t="shared" ca="1" si="85"/>
        <v>-</v>
      </c>
      <c r="J96" s="525" t="str">
        <f t="shared" ca="1" si="86"/>
        <v>-</v>
      </c>
      <c r="K96" s="525" t="str">
        <f t="shared" ca="1" si="87"/>
        <v>-</v>
      </c>
      <c r="L96" s="525" t="str">
        <f t="shared" ca="1" si="88"/>
        <v>-</v>
      </c>
      <c r="M96" s="525" t="str">
        <f t="shared" ca="1" si="89"/>
        <v>-</v>
      </c>
      <c r="N96" s="524" t="str">
        <f t="shared" ca="1" si="90"/>
        <v>-</v>
      </c>
      <c r="O96" s="525" t="str">
        <f t="shared" ca="1" si="91"/>
        <v>-</v>
      </c>
      <c r="P96" s="525" t="str">
        <f t="shared" ca="1" si="92"/>
        <v>-</v>
      </c>
      <c r="Q96" s="525" t="str">
        <f t="shared" ca="1" si="93"/>
        <v>-</v>
      </c>
      <c r="R96" s="525" t="str">
        <f t="shared" ca="1" si="94"/>
        <v>-</v>
      </c>
      <c r="S96" s="524" t="str">
        <f t="shared" ca="1" si="95"/>
        <v>-</v>
      </c>
      <c r="T96" s="525" t="str">
        <f t="shared" ca="1" si="96"/>
        <v>-</v>
      </c>
      <c r="U96" s="525" t="str">
        <f t="shared" ca="1" si="97"/>
        <v>-</v>
      </c>
      <c r="V96" s="525" t="str">
        <f t="shared" ca="1" si="98"/>
        <v>-</v>
      </c>
      <c r="W96" s="525" t="str">
        <f t="shared" ca="1" si="99"/>
        <v>-</v>
      </c>
      <c r="X96" s="524" t="str">
        <f t="shared" ca="1" si="100"/>
        <v>-</v>
      </c>
      <c r="Y96" s="525" t="str">
        <f t="shared" ca="1" si="101"/>
        <v>-</v>
      </c>
      <c r="Z96" s="525" t="str">
        <f t="shared" ca="1" si="102"/>
        <v>-</v>
      </c>
      <c r="AA96" s="525" t="str">
        <f t="shared" ca="1" si="103"/>
        <v>-</v>
      </c>
      <c r="AB96" s="525" t="str">
        <f t="shared" ca="1" si="104"/>
        <v>-</v>
      </c>
      <c r="AC96" s="524" t="str">
        <f t="shared" ca="1" si="105"/>
        <v>-</v>
      </c>
      <c r="AD96" s="525" t="str">
        <f t="shared" ca="1" si="106"/>
        <v>-</v>
      </c>
      <c r="AE96" s="525" t="str">
        <f t="shared" ca="1" si="107"/>
        <v>-</v>
      </c>
      <c r="AF96" s="525" t="str">
        <f t="shared" ca="1" si="108"/>
        <v>-</v>
      </c>
      <c r="AG96" s="525" t="str">
        <f t="shared" ca="1" si="109"/>
        <v>-</v>
      </c>
      <c r="AH96" s="524" t="str">
        <f t="shared" ca="1" si="110"/>
        <v>-</v>
      </c>
      <c r="AI96" s="525" t="str">
        <f t="shared" ca="1" si="111"/>
        <v>-</v>
      </c>
      <c r="AJ96" s="525" t="str">
        <f t="shared" ca="1" si="112"/>
        <v>-</v>
      </c>
      <c r="AK96" s="525" t="str">
        <f t="shared" ca="1" si="113"/>
        <v>-</v>
      </c>
      <c r="AL96" s="525" t="str">
        <f t="shared" ca="1" si="114"/>
        <v>-</v>
      </c>
    </row>
    <row r="97" spans="2:38" x14ac:dyDescent="0.25">
      <c r="B97" s="1176">
        <v>6</v>
      </c>
      <c r="C97" s="1177"/>
      <c r="D97" s="524" t="str">
        <f t="shared" ca="1" si="80"/>
        <v>-</v>
      </c>
      <c r="E97" s="525" t="str">
        <f t="shared" ca="1" si="81"/>
        <v>-</v>
      </c>
      <c r="F97" s="525" t="str">
        <f t="shared" ca="1" si="82"/>
        <v>-</v>
      </c>
      <c r="G97" s="525" t="str">
        <f t="shared" ca="1" si="83"/>
        <v>-</v>
      </c>
      <c r="H97" s="525" t="str">
        <f t="shared" ca="1" si="84"/>
        <v>-</v>
      </c>
      <c r="I97" s="524" t="str">
        <f t="shared" ca="1" si="85"/>
        <v>-</v>
      </c>
      <c r="J97" s="525" t="str">
        <f t="shared" ca="1" si="86"/>
        <v>-</v>
      </c>
      <c r="K97" s="525" t="str">
        <f t="shared" ca="1" si="87"/>
        <v>-</v>
      </c>
      <c r="L97" s="525" t="str">
        <f t="shared" ca="1" si="88"/>
        <v>-</v>
      </c>
      <c r="M97" s="525" t="str">
        <f t="shared" ca="1" si="89"/>
        <v>-</v>
      </c>
      <c r="N97" s="524" t="str">
        <f t="shared" ca="1" si="90"/>
        <v>-</v>
      </c>
      <c r="O97" s="525" t="str">
        <f t="shared" ca="1" si="91"/>
        <v>-</v>
      </c>
      <c r="P97" s="525" t="str">
        <f t="shared" ca="1" si="92"/>
        <v>-</v>
      </c>
      <c r="Q97" s="525" t="str">
        <f t="shared" ca="1" si="93"/>
        <v>-</v>
      </c>
      <c r="R97" s="525" t="str">
        <f t="shared" ca="1" si="94"/>
        <v>-</v>
      </c>
      <c r="S97" s="524" t="str">
        <f t="shared" ca="1" si="95"/>
        <v>-</v>
      </c>
      <c r="T97" s="525" t="str">
        <f t="shared" ca="1" si="96"/>
        <v>-</v>
      </c>
      <c r="U97" s="525" t="str">
        <f t="shared" ca="1" si="97"/>
        <v>-</v>
      </c>
      <c r="V97" s="525" t="str">
        <f t="shared" ca="1" si="98"/>
        <v>-</v>
      </c>
      <c r="W97" s="525" t="str">
        <f t="shared" ca="1" si="99"/>
        <v>-</v>
      </c>
      <c r="X97" s="524" t="str">
        <f t="shared" ca="1" si="100"/>
        <v>-</v>
      </c>
      <c r="Y97" s="525" t="str">
        <f t="shared" ca="1" si="101"/>
        <v>-</v>
      </c>
      <c r="Z97" s="525" t="str">
        <f t="shared" ca="1" si="102"/>
        <v>-</v>
      </c>
      <c r="AA97" s="525" t="str">
        <f t="shared" ca="1" si="103"/>
        <v>-</v>
      </c>
      <c r="AB97" s="525" t="str">
        <f t="shared" ca="1" si="104"/>
        <v>-</v>
      </c>
      <c r="AC97" s="524" t="str">
        <f t="shared" ca="1" si="105"/>
        <v>-</v>
      </c>
      <c r="AD97" s="525" t="str">
        <f t="shared" ca="1" si="106"/>
        <v>-</v>
      </c>
      <c r="AE97" s="525" t="str">
        <f t="shared" ca="1" si="107"/>
        <v>-</v>
      </c>
      <c r="AF97" s="525" t="str">
        <f t="shared" ca="1" si="108"/>
        <v>-</v>
      </c>
      <c r="AG97" s="525" t="str">
        <f t="shared" ca="1" si="109"/>
        <v>-</v>
      </c>
      <c r="AH97" s="524" t="str">
        <f t="shared" ca="1" si="110"/>
        <v>-</v>
      </c>
      <c r="AI97" s="525" t="str">
        <f t="shared" ca="1" si="111"/>
        <v>-</v>
      </c>
      <c r="AJ97" s="525" t="str">
        <f t="shared" ca="1" si="112"/>
        <v>-</v>
      </c>
      <c r="AK97" s="525" t="str">
        <f t="shared" ca="1" si="113"/>
        <v>-</v>
      </c>
      <c r="AL97" s="525" t="str">
        <f t="shared" ca="1" si="114"/>
        <v>-</v>
      </c>
    </row>
    <row r="98" spans="2:38" x14ac:dyDescent="0.25">
      <c r="B98" s="1176">
        <v>7</v>
      </c>
      <c r="C98" s="1177"/>
      <c r="D98" s="524" t="str">
        <f t="shared" ca="1" si="80"/>
        <v>-</v>
      </c>
      <c r="E98" s="525" t="str">
        <f t="shared" ca="1" si="81"/>
        <v>-</v>
      </c>
      <c r="F98" s="525" t="str">
        <f t="shared" ca="1" si="82"/>
        <v>-</v>
      </c>
      <c r="G98" s="525" t="str">
        <f t="shared" ca="1" si="83"/>
        <v>-</v>
      </c>
      <c r="H98" s="525" t="str">
        <f t="shared" ca="1" si="84"/>
        <v>-</v>
      </c>
      <c r="I98" s="524" t="str">
        <f t="shared" ca="1" si="85"/>
        <v>-</v>
      </c>
      <c r="J98" s="525" t="str">
        <f t="shared" ca="1" si="86"/>
        <v>-</v>
      </c>
      <c r="K98" s="525" t="str">
        <f t="shared" ca="1" si="87"/>
        <v>-</v>
      </c>
      <c r="L98" s="525" t="str">
        <f t="shared" ca="1" si="88"/>
        <v>-</v>
      </c>
      <c r="M98" s="525" t="str">
        <f t="shared" ca="1" si="89"/>
        <v>-</v>
      </c>
      <c r="N98" s="524" t="str">
        <f t="shared" ca="1" si="90"/>
        <v>-</v>
      </c>
      <c r="O98" s="525" t="str">
        <f t="shared" ca="1" si="91"/>
        <v>-</v>
      </c>
      <c r="P98" s="525" t="str">
        <f t="shared" ca="1" si="92"/>
        <v>-</v>
      </c>
      <c r="Q98" s="525" t="str">
        <f t="shared" ca="1" si="93"/>
        <v>-</v>
      </c>
      <c r="R98" s="525" t="str">
        <f t="shared" ca="1" si="94"/>
        <v>-</v>
      </c>
      <c r="S98" s="524" t="str">
        <f t="shared" ca="1" si="95"/>
        <v>-</v>
      </c>
      <c r="T98" s="525" t="str">
        <f t="shared" ca="1" si="96"/>
        <v>-</v>
      </c>
      <c r="U98" s="525" t="str">
        <f t="shared" ca="1" si="97"/>
        <v>-</v>
      </c>
      <c r="V98" s="525" t="str">
        <f t="shared" ca="1" si="98"/>
        <v>-</v>
      </c>
      <c r="W98" s="525" t="str">
        <f t="shared" ca="1" si="99"/>
        <v>-</v>
      </c>
      <c r="X98" s="524" t="str">
        <f t="shared" ca="1" si="100"/>
        <v>-</v>
      </c>
      <c r="Y98" s="525" t="str">
        <f t="shared" ca="1" si="101"/>
        <v>-</v>
      </c>
      <c r="Z98" s="525" t="str">
        <f t="shared" ca="1" si="102"/>
        <v>-</v>
      </c>
      <c r="AA98" s="525" t="str">
        <f t="shared" ca="1" si="103"/>
        <v>-</v>
      </c>
      <c r="AB98" s="525" t="str">
        <f t="shared" ca="1" si="104"/>
        <v>-</v>
      </c>
      <c r="AC98" s="524" t="str">
        <f t="shared" ca="1" si="105"/>
        <v>-</v>
      </c>
      <c r="AD98" s="525" t="str">
        <f t="shared" ca="1" si="106"/>
        <v>-</v>
      </c>
      <c r="AE98" s="525" t="str">
        <f t="shared" ca="1" si="107"/>
        <v>-</v>
      </c>
      <c r="AF98" s="525" t="str">
        <f t="shared" ca="1" si="108"/>
        <v>-</v>
      </c>
      <c r="AG98" s="525" t="str">
        <f t="shared" ca="1" si="109"/>
        <v>-</v>
      </c>
      <c r="AH98" s="524" t="str">
        <f t="shared" ca="1" si="110"/>
        <v>-</v>
      </c>
      <c r="AI98" s="525" t="str">
        <f t="shared" ca="1" si="111"/>
        <v>-</v>
      </c>
      <c r="AJ98" s="525" t="str">
        <f t="shared" ca="1" si="112"/>
        <v>-</v>
      </c>
      <c r="AK98" s="525" t="str">
        <f t="shared" ca="1" si="113"/>
        <v>-</v>
      </c>
      <c r="AL98" s="525" t="str">
        <f t="shared" ca="1" si="114"/>
        <v>-</v>
      </c>
    </row>
    <row r="99" spans="2:38" x14ac:dyDescent="0.25">
      <c r="B99" s="1176">
        <v>8</v>
      </c>
      <c r="C99" s="1177"/>
      <c r="D99" s="524" t="str">
        <f t="shared" ca="1" si="80"/>
        <v>-</v>
      </c>
      <c r="E99" s="525" t="str">
        <f t="shared" ca="1" si="81"/>
        <v>-</v>
      </c>
      <c r="F99" s="525" t="str">
        <f t="shared" ca="1" si="82"/>
        <v>-</v>
      </c>
      <c r="G99" s="525" t="str">
        <f t="shared" ca="1" si="83"/>
        <v>-</v>
      </c>
      <c r="H99" s="525" t="str">
        <f t="shared" ca="1" si="84"/>
        <v>-</v>
      </c>
      <c r="I99" s="524" t="str">
        <f t="shared" ca="1" si="85"/>
        <v>-</v>
      </c>
      <c r="J99" s="525" t="str">
        <f t="shared" ca="1" si="86"/>
        <v>-</v>
      </c>
      <c r="K99" s="525" t="str">
        <f t="shared" ca="1" si="87"/>
        <v>-</v>
      </c>
      <c r="L99" s="525" t="str">
        <f t="shared" ca="1" si="88"/>
        <v>-</v>
      </c>
      <c r="M99" s="525" t="str">
        <f t="shared" ca="1" si="89"/>
        <v>-</v>
      </c>
      <c r="N99" s="524" t="str">
        <f t="shared" ca="1" si="90"/>
        <v>-</v>
      </c>
      <c r="O99" s="525" t="str">
        <f t="shared" ca="1" si="91"/>
        <v>-</v>
      </c>
      <c r="P99" s="525" t="str">
        <f t="shared" ca="1" si="92"/>
        <v>-</v>
      </c>
      <c r="Q99" s="525" t="str">
        <f t="shared" ca="1" si="93"/>
        <v>-</v>
      </c>
      <c r="R99" s="525" t="str">
        <f t="shared" ca="1" si="94"/>
        <v>-</v>
      </c>
      <c r="S99" s="524" t="str">
        <f t="shared" ca="1" si="95"/>
        <v>-</v>
      </c>
      <c r="T99" s="525" t="str">
        <f t="shared" ca="1" si="96"/>
        <v>-</v>
      </c>
      <c r="U99" s="525" t="str">
        <f t="shared" ca="1" si="97"/>
        <v>-</v>
      </c>
      <c r="V99" s="525" t="str">
        <f t="shared" ca="1" si="98"/>
        <v>-</v>
      </c>
      <c r="W99" s="525" t="str">
        <f t="shared" ca="1" si="99"/>
        <v>-</v>
      </c>
      <c r="X99" s="524" t="str">
        <f t="shared" ca="1" si="100"/>
        <v>-</v>
      </c>
      <c r="Y99" s="525" t="str">
        <f t="shared" ca="1" si="101"/>
        <v>-</v>
      </c>
      <c r="Z99" s="525" t="str">
        <f t="shared" ca="1" si="102"/>
        <v>-</v>
      </c>
      <c r="AA99" s="525" t="str">
        <f t="shared" ca="1" si="103"/>
        <v>-</v>
      </c>
      <c r="AB99" s="525" t="str">
        <f t="shared" ca="1" si="104"/>
        <v>-</v>
      </c>
      <c r="AC99" s="524" t="str">
        <f t="shared" ca="1" si="105"/>
        <v>-</v>
      </c>
      <c r="AD99" s="525" t="str">
        <f t="shared" ca="1" si="106"/>
        <v>-</v>
      </c>
      <c r="AE99" s="525" t="str">
        <f t="shared" ca="1" si="107"/>
        <v>-</v>
      </c>
      <c r="AF99" s="525" t="str">
        <f t="shared" ca="1" si="108"/>
        <v>-</v>
      </c>
      <c r="AG99" s="525" t="str">
        <f t="shared" ca="1" si="109"/>
        <v>-</v>
      </c>
      <c r="AH99" s="524" t="str">
        <f t="shared" ca="1" si="110"/>
        <v>-</v>
      </c>
      <c r="AI99" s="525" t="str">
        <f t="shared" ca="1" si="111"/>
        <v>-</v>
      </c>
      <c r="AJ99" s="525" t="str">
        <f t="shared" ca="1" si="112"/>
        <v>-</v>
      </c>
      <c r="AK99" s="525" t="str">
        <f t="shared" ca="1" si="113"/>
        <v>-</v>
      </c>
      <c r="AL99" s="525" t="str">
        <f t="shared" ca="1" si="114"/>
        <v>-</v>
      </c>
    </row>
    <row r="100" spans="2:38" x14ac:dyDescent="0.25">
      <c r="B100" s="1176">
        <v>9</v>
      </c>
      <c r="C100" s="1177"/>
      <c r="D100" s="524" t="str">
        <f t="shared" ca="1" si="80"/>
        <v>-</v>
      </c>
      <c r="E100" s="525" t="str">
        <f t="shared" ca="1" si="81"/>
        <v>-</v>
      </c>
      <c r="F100" s="525" t="str">
        <f t="shared" ca="1" si="82"/>
        <v>-</v>
      </c>
      <c r="G100" s="525" t="str">
        <f t="shared" ca="1" si="83"/>
        <v>-</v>
      </c>
      <c r="H100" s="525" t="str">
        <f t="shared" ca="1" si="84"/>
        <v>-</v>
      </c>
      <c r="I100" s="524" t="str">
        <f t="shared" ca="1" si="85"/>
        <v>-</v>
      </c>
      <c r="J100" s="525" t="str">
        <f t="shared" ca="1" si="86"/>
        <v>-</v>
      </c>
      <c r="K100" s="525" t="str">
        <f t="shared" ca="1" si="87"/>
        <v>-</v>
      </c>
      <c r="L100" s="525" t="str">
        <f t="shared" ca="1" si="88"/>
        <v>-</v>
      </c>
      <c r="M100" s="525" t="str">
        <f t="shared" ca="1" si="89"/>
        <v>-</v>
      </c>
      <c r="N100" s="524" t="str">
        <f t="shared" ca="1" si="90"/>
        <v>-</v>
      </c>
      <c r="O100" s="525" t="str">
        <f t="shared" ca="1" si="91"/>
        <v>-</v>
      </c>
      <c r="P100" s="525" t="str">
        <f t="shared" ca="1" si="92"/>
        <v>-</v>
      </c>
      <c r="Q100" s="525" t="str">
        <f t="shared" ca="1" si="93"/>
        <v>-</v>
      </c>
      <c r="R100" s="525" t="str">
        <f t="shared" ca="1" si="94"/>
        <v>-</v>
      </c>
      <c r="S100" s="524" t="str">
        <f t="shared" ca="1" si="95"/>
        <v>-</v>
      </c>
      <c r="T100" s="525" t="str">
        <f t="shared" ca="1" si="96"/>
        <v>-</v>
      </c>
      <c r="U100" s="525" t="str">
        <f t="shared" ca="1" si="97"/>
        <v>-</v>
      </c>
      <c r="V100" s="525" t="str">
        <f t="shared" ca="1" si="98"/>
        <v>-</v>
      </c>
      <c r="W100" s="525" t="str">
        <f t="shared" ca="1" si="99"/>
        <v>-</v>
      </c>
      <c r="X100" s="524" t="str">
        <f t="shared" ca="1" si="100"/>
        <v>-</v>
      </c>
      <c r="Y100" s="525" t="str">
        <f t="shared" ca="1" si="101"/>
        <v>-</v>
      </c>
      <c r="Z100" s="525" t="str">
        <f t="shared" ca="1" si="102"/>
        <v>-</v>
      </c>
      <c r="AA100" s="525" t="str">
        <f t="shared" ca="1" si="103"/>
        <v>-</v>
      </c>
      <c r="AB100" s="525" t="str">
        <f t="shared" ca="1" si="104"/>
        <v>-</v>
      </c>
      <c r="AC100" s="524" t="str">
        <f t="shared" ca="1" si="105"/>
        <v>-</v>
      </c>
      <c r="AD100" s="525" t="str">
        <f t="shared" ca="1" si="106"/>
        <v>-</v>
      </c>
      <c r="AE100" s="525" t="str">
        <f t="shared" ca="1" si="107"/>
        <v>-</v>
      </c>
      <c r="AF100" s="525" t="str">
        <f t="shared" ca="1" si="108"/>
        <v>-</v>
      </c>
      <c r="AG100" s="525" t="str">
        <f t="shared" ca="1" si="109"/>
        <v>-</v>
      </c>
      <c r="AH100" s="524" t="str">
        <f t="shared" ca="1" si="110"/>
        <v>-</v>
      </c>
      <c r="AI100" s="525" t="str">
        <f t="shared" ca="1" si="111"/>
        <v>-</v>
      </c>
      <c r="AJ100" s="525" t="str">
        <f t="shared" ca="1" si="112"/>
        <v>-</v>
      </c>
      <c r="AK100" s="525" t="str">
        <f t="shared" ca="1" si="113"/>
        <v>-</v>
      </c>
      <c r="AL100" s="525" t="str">
        <f t="shared" ca="1" si="114"/>
        <v>-</v>
      </c>
    </row>
    <row r="101" spans="2:38" x14ac:dyDescent="0.25">
      <c r="B101" s="1176">
        <v>10</v>
      </c>
      <c r="C101" s="1177"/>
      <c r="D101" s="524" t="str">
        <f t="shared" ca="1" si="80"/>
        <v>-</v>
      </c>
      <c r="E101" s="525" t="str">
        <f t="shared" ca="1" si="81"/>
        <v>-</v>
      </c>
      <c r="F101" s="525" t="str">
        <f t="shared" ca="1" si="82"/>
        <v>-</v>
      </c>
      <c r="G101" s="525" t="str">
        <f t="shared" ca="1" si="83"/>
        <v>-</v>
      </c>
      <c r="H101" s="525" t="str">
        <f t="shared" ca="1" si="84"/>
        <v>-</v>
      </c>
      <c r="I101" s="524" t="str">
        <f t="shared" ca="1" si="85"/>
        <v>-</v>
      </c>
      <c r="J101" s="525" t="str">
        <f t="shared" ca="1" si="86"/>
        <v>-</v>
      </c>
      <c r="K101" s="525" t="str">
        <f t="shared" ca="1" si="87"/>
        <v>-</v>
      </c>
      <c r="L101" s="525" t="str">
        <f t="shared" ca="1" si="88"/>
        <v>-</v>
      </c>
      <c r="M101" s="525" t="str">
        <f t="shared" ca="1" si="89"/>
        <v>-</v>
      </c>
      <c r="N101" s="524" t="str">
        <f t="shared" ca="1" si="90"/>
        <v>-</v>
      </c>
      <c r="O101" s="525" t="str">
        <f t="shared" ca="1" si="91"/>
        <v>-</v>
      </c>
      <c r="P101" s="525" t="str">
        <f t="shared" ca="1" si="92"/>
        <v>-</v>
      </c>
      <c r="Q101" s="525" t="str">
        <f t="shared" ca="1" si="93"/>
        <v>-</v>
      </c>
      <c r="R101" s="525" t="str">
        <f t="shared" ca="1" si="94"/>
        <v>-</v>
      </c>
      <c r="S101" s="524" t="str">
        <f t="shared" ca="1" si="95"/>
        <v>-</v>
      </c>
      <c r="T101" s="525" t="str">
        <f t="shared" ca="1" si="96"/>
        <v>-</v>
      </c>
      <c r="U101" s="525" t="str">
        <f t="shared" ca="1" si="97"/>
        <v>-</v>
      </c>
      <c r="V101" s="525" t="str">
        <f t="shared" ca="1" si="98"/>
        <v>-</v>
      </c>
      <c r="W101" s="525" t="str">
        <f t="shared" ca="1" si="99"/>
        <v>-</v>
      </c>
      <c r="X101" s="524" t="str">
        <f t="shared" ca="1" si="100"/>
        <v>-</v>
      </c>
      <c r="Y101" s="525" t="str">
        <f t="shared" ca="1" si="101"/>
        <v>-</v>
      </c>
      <c r="Z101" s="525" t="str">
        <f t="shared" ca="1" si="102"/>
        <v>-</v>
      </c>
      <c r="AA101" s="525" t="str">
        <f t="shared" ca="1" si="103"/>
        <v>-</v>
      </c>
      <c r="AB101" s="525" t="str">
        <f t="shared" ca="1" si="104"/>
        <v>-</v>
      </c>
      <c r="AC101" s="524" t="str">
        <f t="shared" ca="1" si="105"/>
        <v>-</v>
      </c>
      <c r="AD101" s="525" t="str">
        <f t="shared" ca="1" si="106"/>
        <v>-</v>
      </c>
      <c r="AE101" s="525" t="str">
        <f t="shared" ca="1" si="107"/>
        <v>-</v>
      </c>
      <c r="AF101" s="525" t="str">
        <f t="shared" ca="1" si="108"/>
        <v>-</v>
      </c>
      <c r="AG101" s="525" t="str">
        <f t="shared" ca="1" si="109"/>
        <v>-</v>
      </c>
      <c r="AH101" s="524" t="str">
        <f t="shared" ca="1" si="110"/>
        <v>-</v>
      </c>
      <c r="AI101" s="525" t="str">
        <f t="shared" ca="1" si="111"/>
        <v>-</v>
      </c>
      <c r="AJ101" s="525" t="str">
        <f t="shared" ca="1" si="112"/>
        <v>-</v>
      </c>
      <c r="AK101" s="525" t="str">
        <f t="shared" ca="1" si="113"/>
        <v>-</v>
      </c>
      <c r="AL101" s="525" t="str">
        <f t="shared" ca="1" si="114"/>
        <v>-</v>
      </c>
    </row>
    <row r="102" spans="2:38" x14ac:dyDescent="0.25">
      <c r="B102" s="1176">
        <v>11</v>
      </c>
      <c r="C102" s="1177"/>
      <c r="D102" s="524" t="str">
        <f t="shared" ca="1" si="80"/>
        <v>-</v>
      </c>
      <c r="E102" s="525" t="str">
        <f t="shared" ca="1" si="81"/>
        <v>-</v>
      </c>
      <c r="F102" s="525" t="str">
        <f t="shared" ca="1" si="82"/>
        <v>-</v>
      </c>
      <c r="G102" s="525" t="str">
        <f t="shared" ca="1" si="83"/>
        <v>-</v>
      </c>
      <c r="H102" s="525" t="str">
        <f t="shared" ca="1" si="84"/>
        <v>-</v>
      </c>
      <c r="I102" s="524" t="str">
        <f t="shared" ca="1" si="85"/>
        <v>-</v>
      </c>
      <c r="J102" s="525" t="str">
        <f t="shared" ca="1" si="86"/>
        <v>-</v>
      </c>
      <c r="K102" s="525" t="str">
        <f t="shared" ca="1" si="87"/>
        <v>-</v>
      </c>
      <c r="L102" s="525" t="str">
        <f t="shared" ca="1" si="88"/>
        <v>-</v>
      </c>
      <c r="M102" s="525" t="str">
        <f t="shared" ca="1" si="89"/>
        <v>-</v>
      </c>
      <c r="N102" s="524" t="str">
        <f t="shared" ca="1" si="90"/>
        <v>-</v>
      </c>
      <c r="O102" s="525" t="str">
        <f t="shared" ca="1" si="91"/>
        <v>-</v>
      </c>
      <c r="P102" s="525" t="str">
        <f t="shared" ca="1" si="92"/>
        <v>-</v>
      </c>
      <c r="Q102" s="525" t="str">
        <f t="shared" ca="1" si="93"/>
        <v>-</v>
      </c>
      <c r="R102" s="525" t="str">
        <f t="shared" ca="1" si="94"/>
        <v>-</v>
      </c>
      <c r="S102" s="524" t="str">
        <f t="shared" ca="1" si="95"/>
        <v>-</v>
      </c>
      <c r="T102" s="525" t="str">
        <f t="shared" ca="1" si="96"/>
        <v>-</v>
      </c>
      <c r="U102" s="525" t="str">
        <f t="shared" ca="1" si="97"/>
        <v>-</v>
      </c>
      <c r="V102" s="525" t="str">
        <f t="shared" ca="1" si="98"/>
        <v>-</v>
      </c>
      <c r="W102" s="525" t="str">
        <f t="shared" ca="1" si="99"/>
        <v>-</v>
      </c>
      <c r="X102" s="524" t="str">
        <f t="shared" ca="1" si="100"/>
        <v>-</v>
      </c>
      <c r="Y102" s="525" t="str">
        <f t="shared" ca="1" si="101"/>
        <v>-</v>
      </c>
      <c r="Z102" s="525" t="str">
        <f t="shared" ca="1" si="102"/>
        <v>-</v>
      </c>
      <c r="AA102" s="525" t="str">
        <f t="shared" ca="1" si="103"/>
        <v>-</v>
      </c>
      <c r="AB102" s="525" t="str">
        <f t="shared" ca="1" si="104"/>
        <v>-</v>
      </c>
      <c r="AC102" s="524" t="str">
        <f t="shared" ca="1" si="105"/>
        <v>-</v>
      </c>
      <c r="AD102" s="525" t="str">
        <f t="shared" ca="1" si="106"/>
        <v>-</v>
      </c>
      <c r="AE102" s="525" t="str">
        <f t="shared" ca="1" si="107"/>
        <v>-</v>
      </c>
      <c r="AF102" s="525" t="str">
        <f t="shared" ca="1" si="108"/>
        <v>-</v>
      </c>
      <c r="AG102" s="525" t="str">
        <f t="shared" ca="1" si="109"/>
        <v>-</v>
      </c>
      <c r="AH102" s="524" t="str">
        <f t="shared" ca="1" si="110"/>
        <v>-</v>
      </c>
      <c r="AI102" s="525" t="str">
        <f t="shared" ca="1" si="111"/>
        <v>-</v>
      </c>
      <c r="AJ102" s="525" t="str">
        <f t="shared" ca="1" si="112"/>
        <v>-</v>
      </c>
      <c r="AK102" s="525" t="str">
        <f t="shared" ca="1" si="113"/>
        <v>-</v>
      </c>
      <c r="AL102" s="525" t="str">
        <f t="shared" ca="1" si="114"/>
        <v>-</v>
      </c>
    </row>
    <row r="103" spans="2:38" x14ac:dyDescent="0.25">
      <c r="B103" s="1176">
        <v>12</v>
      </c>
      <c r="C103" s="1177"/>
      <c r="D103" s="524" t="str">
        <f t="shared" ca="1" si="80"/>
        <v>-</v>
      </c>
      <c r="E103" s="525" t="str">
        <f t="shared" ca="1" si="81"/>
        <v>-</v>
      </c>
      <c r="F103" s="525" t="str">
        <f t="shared" ca="1" si="82"/>
        <v>-</v>
      </c>
      <c r="G103" s="525" t="str">
        <f t="shared" ca="1" si="83"/>
        <v>-</v>
      </c>
      <c r="H103" s="525" t="str">
        <f t="shared" ca="1" si="84"/>
        <v>-</v>
      </c>
      <c r="I103" s="524" t="str">
        <f t="shared" ca="1" si="85"/>
        <v>-</v>
      </c>
      <c r="J103" s="525" t="str">
        <f t="shared" ca="1" si="86"/>
        <v>-</v>
      </c>
      <c r="K103" s="525" t="str">
        <f t="shared" ca="1" si="87"/>
        <v>-</v>
      </c>
      <c r="L103" s="525" t="str">
        <f t="shared" ca="1" si="88"/>
        <v>-</v>
      </c>
      <c r="M103" s="525" t="str">
        <f t="shared" ca="1" si="89"/>
        <v>-</v>
      </c>
      <c r="N103" s="524" t="str">
        <f t="shared" ca="1" si="90"/>
        <v>-</v>
      </c>
      <c r="O103" s="525" t="str">
        <f t="shared" ca="1" si="91"/>
        <v>-</v>
      </c>
      <c r="P103" s="525" t="str">
        <f t="shared" ca="1" si="92"/>
        <v>-</v>
      </c>
      <c r="Q103" s="525" t="str">
        <f t="shared" ca="1" si="93"/>
        <v>-</v>
      </c>
      <c r="R103" s="525" t="str">
        <f t="shared" ca="1" si="94"/>
        <v>-</v>
      </c>
      <c r="S103" s="524" t="str">
        <f t="shared" ca="1" si="95"/>
        <v>-</v>
      </c>
      <c r="T103" s="525" t="str">
        <f t="shared" ca="1" si="96"/>
        <v>-</v>
      </c>
      <c r="U103" s="525" t="str">
        <f t="shared" ca="1" si="97"/>
        <v>-</v>
      </c>
      <c r="V103" s="525" t="str">
        <f t="shared" ca="1" si="98"/>
        <v>-</v>
      </c>
      <c r="W103" s="525" t="str">
        <f t="shared" ca="1" si="99"/>
        <v>-</v>
      </c>
      <c r="X103" s="524" t="str">
        <f t="shared" ca="1" si="100"/>
        <v>-</v>
      </c>
      <c r="Y103" s="525" t="str">
        <f t="shared" ca="1" si="101"/>
        <v>-</v>
      </c>
      <c r="Z103" s="525" t="str">
        <f t="shared" ca="1" si="102"/>
        <v>-</v>
      </c>
      <c r="AA103" s="525" t="str">
        <f t="shared" ca="1" si="103"/>
        <v>-</v>
      </c>
      <c r="AB103" s="525" t="str">
        <f t="shared" ca="1" si="104"/>
        <v>-</v>
      </c>
      <c r="AC103" s="524" t="str">
        <f t="shared" ca="1" si="105"/>
        <v>-</v>
      </c>
      <c r="AD103" s="525" t="str">
        <f t="shared" ca="1" si="106"/>
        <v>-</v>
      </c>
      <c r="AE103" s="525" t="str">
        <f t="shared" ca="1" si="107"/>
        <v>-</v>
      </c>
      <c r="AF103" s="525" t="str">
        <f t="shared" ca="1" si="108"/>
        <v>-</v>
      </c>
      <c r="AG103" s="525" t="str">
        <f t="shared" ca="1" si="109"/>
        <v>-</v>
      </c>
      <c r="AH103" s="524" t="str">
        <f t="shared" ca="1" si="110"/>
        <v>-</v>
      </c>
      <c r="AI103" s="525" t="str">
        <f t="shared" ca="1" si="111"/>
        <v>-</v>
      </c>
      <c r="AJ103" s="525" t="str">
        <f t="shared" ca="1" si="112"/>
        <v>-</v>
      </c>
      <c r="AK103" s="525" t="str">
        <f t="shared" ca="1" si="113"/>
        <v>-</v>
      </c>
      <c r="AL103" s="525" t="str">
        <f t="shared" ca="1" si="114"/>
        <v>-</v>
      </c>
    </row>
    <row r="104" spans="2:38" x14ac:dyDescent="0.25">
      <c r="B104" s="1176">
        <v>13</v>
      </c>
      <c r="C104" s="1177"/>
      <c r="D104" s="524" t="str">
        <f t="shared" ca="1" si="80"/>
        <v>-</v>
      </c>
      <c r="E104" s="525" t="str">
        <f t="shared" ca="1" si="81"/>
        <v>-</v>
      </c>
      <c r="F104" s="525" t="str">
        <f t="shared" ca="1" si="82"/>
        <v>-</v>
      </c>
      <c r="G104" s="525" t="str">
        <f t="shared" ca="1" si="83"/>
        <v>-</v>
      </c>
      <c r="H104" s="525" t="str">
        <f t="shared" ca="1" si="84"/>
        <v>-</v>
      </c>
      <c r="I104" s="524" t="str">
        <f t="shared" ca="1" si="85"/>
        <v>-</v>
      </c>
      <c r="J104" s="525" t="str">
        <f t="shared" ca="1" si="86"/>
        <v>-</v>
      </c>
      <c r="K104" s="525" t="str">
        <f t="shared" ca="1" si="87"/>
        <v>-</v>
      </c>
      <c r="L104" s="525" t="str">
        <f t="shared" ca="1" si="88"/>
        <v>-</v>
      </c>
      <c r="M104" s="525" t="str">
        <f t="shared" ca="1" si="89"/>
        <v>-</v>
      </c>
      <c r="N104" s="524" t="str">
        <f t="shared" ca="1" si="90"/>
        <v>-</v>
      </c>
      <c r="O104" s="525" t="str">
        <f t="shared" ca="1" si="91"/>
        <v>-</v>
      </c>
      <c r="P104" s="525" t="str">
        <f t="shared" ca="1" si="92"/>
        <v>-</v>
      </c>
      <c r="Q104" s="525" t="str">
        <f t="shared" ca="1" si="93"/>
        <v>-</v>
      </c>
      <c r="R104" s="525" t="str">
        <f t="shared" ca="1" si="94"/>
        <v>-</v>
      </c>
      <c r="S104" s="524" t="str">
        <f t="shared" ca="1" si="95"/>
        <v>-</v>
      </c>
      <c r="T104" s="525" t="str">
        <f t="shared" ca="1" si="96"/>
        <v>-</v>
      </c>
      <c r="U104" s="525" t="str">
        <f t="shared" ca="1" si="97"/>
        <v>-</v>
      </c>
      <c r="V104" s="525" t="str">
        <f t="shared" ca="1" si="98"/>
        <v>-</v>
      </c>
      <c r="W104" s="525" t="str">
        <f t="shared" ca="1" si="99"/>
        <v>-</v>
      </c>
      <c r="X104" s="524" t="str">
        <f t="shared" ca="1" si="100"/>
        <v>-</v>
      </c>
      <c r="Y104" s="525" t="str">
        <f t="shared" ca="1" si="101"/>
        <v>-</v>
      </c>
      <c r="Z104" s="525" t="str">
        <f t="shared" ca="1" si="102"/>
        <v>-</v>
      </c>
      <c r="AA104" s="525" t="str">
        <f t="shared" ca="1" si="103"/>
        <v>-</v>
      </c>
      <c r="AB104" s="525" t="str">
        <f t="shared" ca="1" si="104"/>
        <v>-</v>
      </c>
      <c r="AC104" s="524" t="str">
        <f t="shared" ca="1" si="105"/>
        <v>-</v>
      </c>
      <c r="AD104" s="525" t="str">
        <f t="shared" ca="1" si="106"/>
        <v>-</v>
      </c>
      <c r="AE104" s="525" t="str">
        <f t="shared" ca="1" si="107"/>
        <v>-</v>
      </c>
      <c r="AF104" s="525" t="str">
        <f t="shared" ca="1" si="108"/>
        <v>-</v>
      </c>
      <c r="AG104" s="525" t="str">
        <f t="shared" ca="1" si="109"/>
        <v>-</v>
      </c>
      <c r="AH104" s="524" t="str">
        <f t="shared" ca="1" si="110"/>
        <v>-</v>
      </c>
      <c r="AI104" s="525" t="str">
        <f t="shared" ca="1" si="111"/>
        <v>-</v>
      </c>
      <c r="AJ104" s="525" t="str">
        <f t="shared" ca="1" si="112"/>
        <v>-</v>
      </c>
      <c r="AK104" s="525" t="str">
        <f t="shared" ca="1" si="113"/>
        <v>-</v>
      </c>
      <c r="AL104" s="525" t="str">
        <f t="shared" ca="1" si="114"/>
        <v>-</v>
      </c>
    </row>
    <row r="105" spans="2:38" x14ac:dyDescent="0.25">
      <c r="B105" s="1176">
        <v>14</v>
      </c>
      <c r="C105" s="1177"/>
      <c r="D105" s="524" t="str">
        <f t="shared" ca="1" si="80"/>
        <v>-</v>
      </c>
      <c r="E105" s="525" t="str">
        <f t="shared" ca="1" si="81"/>
        <v>-</v>
      </c>
      <c r="F105" s="525" t="str">
        <f t="shared" ca="1" si="82"/>
        <v>-</v>
      </c>
      <c r="G105" s="525" t="str">
        <f t="shared" ca="1" si="83"/>
        <v>-</v>
      </c>
      <c r="H105" s="525" t="str">
        <f t="shared" ca="1" si="84"/>
        <v>-</v>
      </c>
      <c r="I105" s="524" t="str">
        <f t="shared" ca="1" si="85"/>
        <v>-</v>
      </c>
      <c r="J105" s="525" t="str">
        <f t="shared" ca="1" si="86"/>
        <v>-</v>
      </c>
      <c r="K105" s="525" t="str">
        <f t="shared" ca="1" si="87"/>
        <v>-</v>
      </c>
      <c r="L105" s="525" t="str">
        <f t="shared" ca="1" si="88"/>
        <v>-</v>
      </c>
      <c r="M105" s="525" t="str">
        <f t="shared" ca="1" si="89"/>
        <v>-</v>
      </c>
      <c r="N105" s="524" t="str">
        <f t="shared" ca="1" si="90"/>
        <v>-</v>
      </c>
      <c r="O105" s="525" t="str">
        <f t="shared" ca="1" si="91"/>
        <v>-</v>
      </c>
      <c r="P105" s="525" t="str">
        <f t="shared" ca="1" si="92"/>
        <v>-</v>
      </c>
      <c r="Q105" s="525" t="str">
        <f t="shared" ca="1" si="93"/>
        <v>-</v>
      </c>
      <c r="R105" s="525" t="str">
        <f t="shared" ca="1" si="94"/>
        <v>-</v>
      </c>
      <c r="S105" s="524" t="str">
        <f t="shared" ca="1" si="95"/>
        <v>-</v>
      </c>
      <c r="T105" s="525" t="str">
        <f t="shared" ca="1" si="96"/>
        <v>-</v>
      </c>
      <c r="U105" s="525" t="str">
        <f t="shared" ca="1" si="97"/>
        <v>-</v>
      </c>
      <c r="V105" s="525" t="str">
        <f t="shared" ca="1" si="98"/>
        <v>-</v>
      </c>
      <c r="W105" s="525" t="str">
        <f t="shared" ca="1" si="99"/>
        <v>-</v>
      </c>
      <c r="X105" s="524" t="str">
        <f t="shared" ca="1" si="100"/>
        <v>-</v>
      </c>
      <c r="Y105" s="525" t="str">
        <f t="shared" ca="1" si="101"/>
        <v>-</v>
      </c>
      <c r="Z105" s="525" t="str">
        <f t="shared" ca="1" si="102"/>
        <v>-</v>
      </c>
      <c r="AA105" s="525" t="str">
        <f t="shared" ca="1" si="103"/>
        <v>-</v>
      </c>
      <c r="AB105" s="525" t="str">
        <f t="shared" ca="1" si="104"/>
        <v>-</v>
      </c>
      <c r="AC105" s="524" t="str">
        <f t="shared" ca="1" si="105"/>
        <v>-</v>
      </c>
      <c r="AD105" s="525" t="str">
        <f t="shared" ca="1" si="106"/>
        <v>-</v>
      </c>
      <c r="AE105" s="525" t="str">
        <f t="shared" ca="1" si="107"/>
        <v>-</v>
      </c>
      <c r="AF105" s="525" t="str">
        <f t="shared" ca="1" si="108"/>
        <v>-</v>
      </c>
      <c r="AG105" s="525" t="str">
        <f t="shared" ca="1" si="109"/>
        <v>-</v>
      </c>
      <c r="AH105" s="524" t="str">
        <f t="shared" ca="1" si="110"/>
        <v>-</v>
      </c>
      <c r="AI105" s="525" t="str">
        <f t="shared" ca="1" si="111"/>
        <v>-</v>
      </c>
      <c r="AJ105" s="525" t="str">
        <f t="shared" ca="1" si="112"/>
        <v>-</v>
      </c>
      <c r="AK105" s="525" t="str">
        <f t="shared" ca="1" si="113"/>
        <v>-</v>
      </c>
      <c r="AL105" s="525" t="str">
        <f t="shared" ca="1" si="114"/>
        <v>-</v>
      </c>
    </row>
    <row r="106" spans="2:38" x14ac:dyDescent="0.25">
      <c r="B106" s="1176">
        <v>15</v>
      </c>
      <c r="C106" s="1177"/>
      <c r="D106" s="524" t="str">
        <f t="shared" ca="1" si="80"/>
        <v>-</v>
      </c>
      <c r="E106" s="525" t="str">
        <f t="shared" ca="1" si="81"/>
        <v>-</v>
      </c>
      <c r="F106" s="525" t="str">
        <f t="shared" ca="1" si="82"/>
        <v>-</v>
      </c>
      <c r="G106" s="525" t="str">
        <f t="shared" ca="1" si="83"/>
        <v>-</v>
      </c>
      <c r="H106" s="525" t="str">
        <f t="shared" ca="1" si="84"/>
        <v>-</v>
      </c>
      <c r="I106" s="524" t="str">
        <f t="shared" ca="1" si="85"/>
        <v>-</v>
      </c>
      <c r="J106" s="525" t="str">
        <f t="shared" ca="1" si="86"/>
        <v>-</v>
      </c>
      <c r="K106" s="525" t="str">
        <f t="shared" ca="1" si="87"/>
        <v>-</v>
      </c>
      <c r="L106" s="525" t="str">
        <f t="shared" ca="1" si="88"/>
        <v>-</v>
      </c>
      <c r="M106" s="525" t="str">
        <f t="shared" ca="1" si="89"/>
        <v>-</v>
      </c>
      <c r="N106" s="524" t="str">
        <f t="shared" ca="1" si="90"/>
        <v>-</v>
      </c>
      <c r="O106" s="525" t="str">
        <f t="shared" ca="1" si="91"/>
        <v>-</v>
      </c>
      <c r="P106" s="525" t="str">
        <f t="shared" ca="1" si="92"/>
        <v>-</v>
      </c>
      <c r="Q106" s="525" t="str">
        <f t="shared" ca="1" si="93"/>
        <v>-</v>
      </c>
      <c r="R106" s="525" t="str">
        <f t="shared" ca="1" si="94"/>
        <v>-</v>
      </c>
      <c r="S106" s="524" t="str">
        <f t="shared" ca="1" si="95"/>
        <v>-</v>
      </c>
      <c r="T106" s="525" t="str">
        <f t="shared" ca="1" si="96"/>
        <v>-</v>
      </c>
      <c r="U106" s="525" t="str">
        <f t="shared" ca="1" si="97"/>
        <v>-</v>
      </c>
      <c r="V106" s="525" t="str">
        <f t="shared" ca="1" si="98"/>
        <v>-</v>
      </c>
      <c r="W106" s="525" t="str">
        <f t="shared" ca="1" si="99"/>
        <v>-</v>
      </c>
      <c r="X106" s="524" t="str">
        <f t="shared" ca="1" si="100"/>
        <v>-</v>
      </c>
      <c r="Y106" s="525" t="str">
        <f t="shared" ca="1" si="101"/>
        <v>-</v>
      </c>
      <c r="Z106" s="525" t="str">
        <f t="shared" ca="1" si="102"/>
        <v>-</v>
      </c>
      <c r="AA106" s="525" t="str">
        <f t="shared" ca="1" si="103"/>
        <v>-</v>
      </c>
      <c r="AB106" s="525" t="str">
        <f t="shared" ca="1" si="104"/>
        <v>-</v>
      </c>
      <c r="AC106" s="524" t="str">
        <f t="shared" ca="1" si="105"/>
        <v>-</v>
      </c>
      <c r="AD106" s="525" t="str">
        <f t="shared" ca="1" si="106"/>
        <v>-</v>
      </c>
      <c r="AE106" s="525" t="str">
        <f t="shared" ca="1" si="107"/>
        <v>-</v>
      </c>
      <c r="AF106" s="525" t="str">
        <f t="shared" ca="1" si="108"/>
        <v>-</v>
      </c>
      <c r="AG106" s="525" t="str">
        <f t="shared" ca="1" si="109"/>
        <v>-</v>
      </c>
      <c r="AH106" s="524" t="str">
        <f t="shared" ca="1" si="110"/>
        <v>-</v>
      </c>
      <c r="AI106" s="525" t="str">
        <f t="shared" ca="1" si="111"/>
        <v>-</v>
      </c>
      <c r="AJ106" s="525" t="str">
        <f t="shared" ca="1" si="112"/>
        <v>-</v>
      </c>
      <c r="AK106" s="525" t="str">
        <f t="shared" ca="1" si="113"/>
        <v>-</v>
      </c>
      <c r="AL106" s="525" t="str">
        <f t="shared" ca="1" si="114"/>
        <v>-</v>
      </c>
    </row>
    <row r="107" spans="2:38" x14ac:dyDescent="0.25">
      <c r="B107" s="1176">
        <v>16</v>
      </c>
      <c r="C107" s="1177"/>
      <c r="D107" s="524" t="str">
        <f t="shared" ca="1" si="80"/>
        <v>-</v>
      </c>
      <c r="E107" s="525" t="str">
        <f t="shared" ca="1" si="81"/>
        <v>-</v>
      </c>
      <c r="F107" s="525" t="str">
        <f t="shared" ca="1" si="82"/>
        <v>-</v>
      </c>
      <c r="G107" s="525" t="str">
        <f t="shared" ca="1" si="83"/>
        <v>-</v>
      </c>
      <c r="H107" s="525" t="str">
        <f t="shared" ca="1" si="84"/>
        <v>-</v>
      </c>
      <c r="I107" s="524" t="str">
        <f t="shared" ca="1" si="85"/>
        <v>-</v>
      </c>
      <c r="J107" s="525" t="str">
        <f t="shared" ca="1" si="86"/>
        <v>-</v>
      </c>
      <c r="K107" s="525" t="str">
        <f t="shared" ca="1" si="87"/>
        <v>-</v>
      </c>
      <c r="L107" s="525" t="str">
        <f t="shared" ca="1" si="88"/>
        <v>-</v>
      </c>
      <c r="M107" s="525" t="str">
        <f t="shared" ca="1" si="89"/>
        <v>-</v>
      </c>
      <c r="N107" s="524" t="str">
        <f t="shared" ca="1" si="90"/>
        <v>-</v>
      </c>
      <c r="O107" s="525" t="str">
        <f t="shared" ca="1" si="91"/>
        <v>-</v>
      </c>
      <c r="P107" s="525" t="str">
        <f t="shared" ca="1" si="92"/>
        <v>-</v>
      </c>
      <c r="Q107" s="525" t="str">
        <f t="shared" ca="1" si="93"/>
        <v>-</v>
      </c>
      <c r="R107" s="525" t="str">
        <f t="shared" ca="1" si="94"/>
        <v>-</v>
      </c>
      <c r="S107" s="524" t="str">
        <f t="shared" ca="1" si="95"/>
        <v>-</v>
      </c>
      <c r="T107" s="525" t="str">
        <f t="shared" ca="1" si="96"/>
        <v>-</v>
      </c>
      <c r="U107" s="525" t="str">
        <f t="shared" ca="1" si="97"/>
        <v>-</v>
      </c>
      <c r="V107" s="525" t="str">
        <f t="shared" ca="1" si="98"/>
        <v>-</v>
      </c>
      <c r="W107" s="525" t="str">
        <f t="shared" ca="1" si="99"/>
        <v>-</v>
      </c>
      <c r="X107" s="524" t="str">
        <f t="shared" ca="1" si="100"/>
        <v>-</v>
      </c>
      <c r="Y107" s="525" t="str">
        <f t="shared" ca="1" si="101"/>
        <v>-</v>
      </c>
      <c r="Z107" s="525" t="str">
        <f t="shared" ca="1" si="102"/>
        <v>-</v>
      </c>
      <c r="AA107" s="525" t="str">
        <f t="shared" ca="1" si="103"/>
        <v>-</v>
      </c>
      <c r="AB107" s="525" t="str">
        <f t="shared" ca="1" si="104"/>
        <v>-</v>
      </c>
      <c r="AC107" s="524" t="str">
        <f t="shared" ca="1" si="105"/>
        <v>-</v>
      </c>
      <c r="AD107" s="525" t="str">
        <f t="shared" ca="1" si="106"/>
        <v>-</v>
      </c>
      <c r="AE107" s="525" t="str">
        <f t="shared" ca="1" si="107"/>
        <v>-</v>
      </c>
      <c r="AF107" s="525" t="str">
        <f t="shared" ca="1" si="108"/>
        <v>-</v>
      </c>
      <c r="AG107" s="525" t="str">
        <f t="shared" ca="1" si="109"/>
        <v>-</v>
      </c>
      <c r="AH107" s="524" t="str">
        <f t="shared" ca="1" si="110"/>
        <v>-</v>
      </c>
      <c r="AI107" s="525" t="str">
        <f t="shared" ca="1" si="111"/>
        <v>-</v>
      </c>
      <c r="AJ107" s="525" t="str">
        <f t="shared" ca="1" si="112"/>
        <v>-</v>
      </c>
      <c r="AK107" s="525" t="str">
        <f t="shared" ca="1" si="113"/>
        <v>-</v>
      </c>
      <c r="AL107" s="525" t="str">
        <f t="shared" ca="1" si="114"/>
        <v>-</v>
      </c>
    </row>
    <row r="108" spans="2:38" x14ac:dyDescent="0.25">
      <c r="B108" s="1176">
        <v>17</v>
      </c>
      <c r="C108" s="1177"/>
      <c r="D108" s="524" t="str">
        <f t="shared" ca="1" si="80"/>
        <v>-</v>
      </c>
      <c r="E108" s="525" t="str">
        <f t="shared" ca="1" si="81"/>
        <v>-</v>
      </c>
      <c r="F108" s="525" t="str">
        <f t="shared" ca="1" si="82"/>
        <v>-</v>
      </c>
      <c r="G108" s="525" t="str">
        <f t="shared" ca="1" si="83"/>
        <v>-</v>
      </c>
      <c r="H108" s="525" t="str">
        <f t="shared" ca="1" si="84"/>
        <v>-</v>
      </c>
      <c r="I108" s="524" t="str">
        <f t="shared" ca="1" si="85"/>
        <v>-</v>
      </c>
      <c r="J108" s="525" t="str">
        <f t="shared" ca="1" si="86"/>
        <v>-</v>
      </c>
      <c r="K108" s="525" t="str">
        <f t="shared" ca="1" si="87"/>
        <v>-</v>
      </c>
      <c r="L108" s="525" t="str">
        <f t="shared" ca="1" si="88"/>
        <v>-</v>
      </c>
      <c r="M108" s="525" t="str">
        <f t="shared" ca="1" si="89"/>
        <v>-</v>
      </c>
      <c r="N108" s="524" t="str">
        <f t="shared" ca="1" si="90"/>
        <v>-</v>
      </c>
      <c r="O108" s="525" t="str">
        <f t="shared" ca="1" si="91"/>
        <v>-</v>
      </c>
      <c r="P108" s="525" t="str">
        <f t="shared" ca="1" si="92"/>
        <v>-</v>
      </c>
      <c r="Q108" s="525" t="str">
        <f t="shared" ca="1" si="93"/>
        <v>-</v>
      </c>
      <c r="R108" s="525" t="str">
        <f t="shared" ca="1" si="94"/>
        <v>-</v>
      </c>
      <c r="S108" s="524" t="str">
        <f t="shared" ca="1" si="95"/>
        <v>-</v>
      </c>
      <c r="T108" s="525" t="str">
        <f t="shared" ca="1" si="96"/>
        <v>-</v>
      </c>
      <c r="U108" s="525" t="str">
        <f t="shared" ca="1" si="97"/>
        <v>-</v>
      </c>
      <c r="V108" s="525" t="str">
        <f t="shared" ca="1" si="98"/>
        <v>-</v>
      </c>
      <c r="W108" s="525" t="str">
        <f t="shared" ca="1" si="99"/>
        <v>-</v>
      </c>
      <c r="X108" s="524" t="str">
        <f t="shared" ca="1" si="100"/>
        <v>-</v>
      </c>
      <c r="Y108" s="525" t="str">
        <f t="shared" ca="1" si="101"/>
        <v>-</v>
      </c>
      <c r="Z108" s="525" t="str">
        <f t="shared" ca="1" si="102"/>
        <v>-</v>
      </c>
      <c r="AA108" s="525" t="str">
        <f t="shared" ca="1" si="103"/>
        <v>-</v>
      </c>
      <c r="AB108" s="525" t="str">
        <f t="shared" ca="1" si="104"/>
        <v>-</v>
      </c>
      <c r="AC108" s="524" t="str">
        <f t="shared" ca="1" si="105"/>
        <v>-</v>
      </c>
      <c r="AD108" s="525" t="str">
        <f t="shared" ca="1" si="106"/>
        <v>-</v>
      </c>
      <c r="AE108" s="525" t="str">
        <f t="shared" ca="1" si="107"/>
        <v>-</v>
      </c>
      <c r="AF108" s="525" t="str">
        <f t="shared" ca="1" si="108"/>
        <v>-</v>
      </c>
      <c r="AG108" s="525" t="str">
        <f t="shared" ca="1" si="109"/>
        <v>-</v>
      </c>
      <c r="AH108" s="524" t="str">
        <f t="shared" ca="1" si="110"/>
        <v>-</v>
      </c>
      <c r="AI108" s="525" t="str">
        <f t="shared" ca="1" si="111"/>
        <v>-</v>
      </c>
      <c r="AJ108" s="525" t="str">
        <f t="shared" ca="1" si="112"/>
        <v>-</v>
      </c>
      <c r="AK108" s="525" t="str">
        <f t="shared" ca="1" si="113"/>
        <v>-</v>
      </c>
      <c r="AL108" s="525" t="str">
        <f t="shared" ca="1" si="114"/>
        <v>-</v>
      </c>
    </row>
    <row r="109" spans="2:38" x14ac:dyDescent="0.25">
      <c r="B109" s="1176">
        <v>18</v>
      </c>
      <c r="C109" s="1177"/>
      <c r="D109" s="524" t="str">
        <f t="shared" ca="1" si="80"/>
        <v>-</v>
      </c>
      <c r="E109" s="525" t="str">
        <f t="shared" ca="1" si="81"/>
        <v>-</v>
      </c>
      <c r="F109" s="525" t="str">
        <f t="shared" ca="1" si="82"/>
        <v>-</v>
      </c>
      <c r="G109" s="525" t="str">
        <f t="shared" ca="1" si="83"/>
        <v>-</v>
      </c>
      <c r="H109" s="525" t="str">
        <f t="shared" ca="1" si="84"/>
        <v>-</v>
      </c>
      <c r="I109" s="524" t="str">
        <f t="shared" ca="1" si="85"/>
        <v>-</v>
      </c>
      <c r="J109" s="525" t="str">
        <f t="shared" ca="1" si="86"/>
        <v>-</v>
      </c>
      <c r="K109" s="525" t="str">
        <f t="shared" ca="1" si="87"/>
        <v>-</v>
      </c>
      <c r="L109" s="525" t="str">
        <f t="shared" ca="1" si="88"/>
        <v>-</v>
      </c>
      <c r="M109" s="525" t="str">
        <f t="shared" ca="1" si="89"/>
        <v>-</v>
      </c>
      <c r="N109" s="524" t="str">
        <f t="shared" ca="1" si="90"/>
        <v>-</v>
      </c>
      <c r="O109" s="525" t="str">
        <f t="shared" ca="1" si="91"/>
        <v>-</v>
      </c>
      <c r="P109" s="525" t="str">
        <f t="shared" ca="1" si="92"/>
        <v>-</v>
      </c>
      <c r="Q109" s="525" t="str">
        <f t="shared" ca="1" si="93"/>
        <v>-</v>
      </c>
      <c r="R109" s="525" t="str">
        <f t="shared" ca="1" si="94"/>
        <v>-</v>
      </c>
      <c r="S109" s="524" t="str">
        <f t="shared" ca="1" si="95"/>
        <v>-</v>
      </c>
      <c r="T109" s="525" t="str">
        <f t="shared" ca="1" si="96"/>
        <v>-</v>
      </c>
      <c r="U109" s="525" t="str">
        <f t="shared" ca="1" si="97"/>
        <v>-</v>
      </c>
      <c r="V109" s="525" t="str">
        <f t="shared" ca="1" si="98"/>
        <v>-</v>
      </c>
      <c r="W109" s="525" t="str">
        <f t="shared" ca="1" si="99"/>
        <v>-</v>
      </c>
      <c r="X109" s="524" t="str">
        <f t="shared" ca="1" si="100"/>
        <v>-</v>
      </c>
      <c r="Y109" s="525" t="str">
        <f t="shared" ca="1" si="101"/>
        <v>-</v>
      </c>
      <c r="Z109" s="525" t="str">
        <f t="shared" ca="1" si="102"/>
        <v>-</v>
      </c>
      <c r="AA109" s="525" t="str">
        <f t="shared" ca="1" si="103"/>
        <v>-</v>
      </c>
      <c r="AB109" s="525" t="str">
        <f t="shared" ca="1" si="104"/>
        <v>-</v>
      </c>
      <c r="AC109" s="524" t="str">
        <f t="shared" ca="1" si="105"/>
        <v>-</v>
      </c>
      <c r="AD109" s="525" t="str">
        <f t="shared" ca="1" si="106"/>
        <v>-</v>
      </c>
      <c r="AE109" s="525" t="str">
        <f t="shared" ca="1" si="107"/>
        <v>-</v>
      </c>
      <c r="AF109" s="525" t="str">
        <f t="shared" ca="1" si="108"/>
        <v>-</v>
      </c>
      <c r="AG109" s="525" t="str">
        <f t="shared" ca="1" si="109"/>
        <v>-</v>
      </c>
      <c r="AH109" s="524" t="str">
        <f t="shared" ca="1" si="110"/>
        <v>-</v>
      </c>
      <c r="AI109" s="525" t="str">
        <f t="shared" ca="1" si="111"/>
        <v>-</v>
      </c>
      <c r="AJ109" s="525" t="str">
        <f t="shared" ca="1" si="112"/>
        <v>-</v>
      </c>
      <c r="AK109" s="525" t="str">
        <f t="shared" ca="1" si="113"/>
        <v>-</v>
      </c>
      <c r="AL109" s="525" t="str">
        <f t="shared" ca="1" si="114"/>
        <v>-</v>
      </c>
    </row>
    <row r="110" spans="2:38" x14ac:dyDescent="0.25">
      <c r="B110" s="1176">
        <v>19</v>
      </c>
      <c r="C110" s="1177"/>
      <c r="D110" s="524" t="str">
        <f t="shared" ca="1" si="80"/>
        <v>-</v>
      </c>
      <c r="E110" s="525" t="str">
        <f t="shared" ca="1" si="81"/>
        <v>-</v>
      </c>
      <c r="F110" s="525" t="str">
        <f t="shared" ca="1" si="82"/>
        <v>-</v>
      </c>
      <c r="G110" s="525" t="str">
        <f t="shared" ca="1" si="83"/>
        <v>-</v>
      </c>
      <c r="H110" s="525" t="str">
        <f t="shared" ca="1" si="84"/>
        <v>-</v>
      </c>
      <c r="I110" s="524" t="str">
        <f t="shared" ca="1" si="85"/>
        <v>-</v>
      </c>
      <c r="J110" s="525" t="str">
        <f t="shared" ca="1" si="86"/>
        <v>-</v>
      </c>
      <c r="K110" s="525" t="str">
        <f t="shared" ca="1" si="87"/>
        <v>-</v>
      </c>
      <c r="L110" s="525" t="str">
        <f t="shared" ca="1" si="88"/>
        <v>-</v>
      </c>
      <c r="M110" s="525" t="str">
        <f t="shared" ca="1" si="89"/>
        <v>-</v>
      </c>
      <c r="N110" s="524" t="str">
        <f t="shared" ca="1" si="90"/>
        <v>-</v>
      </c>
      <c r="O110" s="525" t="str">
        <f t="shared" ca="1" si="91"/>
        <v>-</v>
      </c>
      <c r="P110" s="525" t="str">
        <f t="shared" ca="1" si="92"/>
        <v>-</v>
      </c>
      <c r="Q110" s="525" t="str">
        <f t="shared" ca="1" si="93"/>
        <v>-</v>
      </c>
      <c r="R110" s="525" t="str">
        <f t="shared" ca="1" si="94"/>
        <v>-</v>
      </c>
      <c r="S110" s="524" t="str">
        <f t="shared" ca="1" si="95"/>
        <v>-</v>
      </c>
      <c r="T110" s="525" t="str">
        <f t="shared" ca="1" si="96"/>
        <v>-</v>
      </c>
      <c r="U110" s="525" t="str">
        <f t="shared" ca="1" si="97"/>
        <v>-</v>
      </c>
      <c r="V110" s="525" t="str">
        <f t="shared" ca="1" si="98"/>
        <v>-</v>
      </c>
      <c r="W110" s="525" t="str">
        <f t="shared" ca="1" si="99"/>
        <v>-</v>
      </c>
      <c r="X110" s="524" t="str">
        <f t="shared" ca="1" si="100"/>
        <v>-</v>
      </c>
      <c r="Y110" s="525" t="str">
        <f t="shared" ca="1" si="101"/>
        <v>-</v>
      </c>
      <c r="Z110" s="525" t="str">
        <f t="shared" ca="1" si="102"/>
        <v>-</v>
      </c>
      <c r="AA110" s="525" t="str">
        <f t="shared" ca="1" si="103"/>
        <v>-</v>
      </c>
      <c r="AB110" s="525" t="str">
        <f t="shared" ca="1" si="104"/>
        <v>-</v>
      </c>
      <c r="AC110" s="524" t="str">
        <f t="shared" ca="1" si="105"/>
        <v>-</v>
      </c>
      <c r="AD110" s="525" t="str">
        <f t="shared" ca="1" si="106"/>
        <v>-</v>
      </c>
      <c r="AE110" s="525" t="str">
        <f t="shared" ca="1" si="107"/>
        <v>-</v>
      </c>
      <c r="AF110" s="525" t="str">
        <f t="shared" ca="1" si="108"/>
        <v>-</v>
      </c>
      <c r="AG110" s="525" t="str">
        <f t="shared" ca="1" si="109"/>
        <v>-</v>
      </c>
      <c r="AH110" s="524" t="str">
        <f t="shared" ca="1" si="110"/>
        <v>-</v>
      </c>
      <c r="AI110" s="525" t="str">
        <f t="shared" ca="1" si="111"/>
        <v>-</v>
      </c>
      <c r="AJ110" s="525" t="str">
        <f t="shared" ca="1" si="112"/>
        <v>-</v>
      </c>
      <c r="AK110" s="525" t="str">
        <f t="shared" ca="1" si="113"/>
        <v>-</v>
      </c>
      <c r="AL110" s="525" t="str">
        <f t="shared" ca="1" si="114"/>
        <v>-</v>
      </c>
    </row>
    <row r="111" spans="2:38" x14ac:dyDescent="0.25">
      <c r="B111" s="1176">
        <v>20</v>
      </c>
      <c r="C111" s="1177"/>
      <c r="D111" s="524" t="str">
        <f t="shared" ca="1" si="80"/>
        <v>-</v>
      </c>
      <c r="E111" s="525" t="str">
        <f t="shared" ca="1" si="81"/>
        <v>-</v>
      </c>
      <c r="F111" s="525" t="str">
        <f t="shared" ca="1" si="82"/>
        <v>-</v>
      </c>
      <c r="G111" s="525" t="str">
        <f t="shared" ca="1" si="83"/>
        <v>-</v>
      </c>
      <c r="H111" s="525" t="str">
        <f t="shared" ca="1" si="84"/>
        <v>-</v>
      </c>
      <c r="I111" s="524" t="str">
        <f t="shared" ca="1" si="85"/>
        <v>-</v>
      </c>
      <c r="J111" s="525" t="str">
        <f t="shared" ca="1" si="86"/>
        <v>-</v>
      </c>
      <c r="K111" s="525" t="str">
        <f t="shared" ca="1" si="87"/>
        <v>-</v>
      </c>
      <c r="L111" s="525" t="str">
        <f t="shared" ca="1" si="88"/>
        <v>-</v>
      </c>
      <c r="M111" s="525" t="str">
        <f t="shared" ca="1" si="89"/>
        <v>-</v>
      </c>
      <c r="N111" s="524" t="str">
        <f t="shared" ca="1" si="90"/>
        <v>-</v>
      </c>
      <c r="O111" s="525" t="str">
        <f t="shared" ca="1" si="91"/>
        <v>-</v>
      </c>
      <c r="P111" s="525" t="str">
        <f t="shared" ca="1" si="92"/>
        <v>-</v>
      </c>
      <c r="Q111" s="525" t="str">
        <f t="shared" ca="1" si="93"/>
        <v>-</v>
      </c>
      <c r="R111" s="525" t="str">
        <f t="shared" ca="1" si="94"/>
        <v>-</v>
      </c>
      <c r="S111" s="524" t="str">
        <f t="shared" ca="1" si="95"/>
        <v>-</v>
      </c>
      <c r="T111" s="525" t="str">
        <f t="shared" ca="1" si="96"/>
        <v>-</v>
      </c>
      <c r="U111" s="525" t="str">
        <f t="shared" ca="1" si="97"/>
        <v>-</v>
      </c>
      <c r="V111" s="525" t="str">
        <f t="shared" ca="1" si="98"/>
        <v>-</v>
      </c>
      <c r="W111" s="525" t="str">
        <f t="shared" ca="1" si="99"/>
        <v>-</v>
      </c>
      <c r="X111" s="524" t="str">
        <f t="shared" ca="1" si="100"/>
        <v>-</v>
      </c>
      <c r="Y111" s="525" t="str">
        <f t="shared" ca="1" si="101"/>
        <v>-</v>
      </c>
      <c r="Z111" s="525" t="str">
        <f t="shared" ca="1" si="102"/>
        <v>-</v>
      </c>
      <c r="AA111" s="525" t="str">
        <f t="shared" ca="1" si="103"/>
        <v>-</v>
      </c>
      <c r="AB111" s="525" t="str">
        <f t="shared" ca="1" si="104"/>
        <v>-</v>
      </c>
      <c r="AC111" s="524" t="str">
        <f t="shared" ca="1" si="105"/>
        <v>-</v>
      </c>
      <c r="AD111" s="525" t="str">
        <f t="shared" ca="1" si="106"/>
        <v>-</v>
      </c>
      <c r="AE111" s="525" t="str">
        <f t="shared" ca="1" si="107"/>
        <v>-</v>
      </c>
      <c r="AF111" s="525" t="str">
        <f t="shared" ca="1" si="108"/>
        <v>-</v>
      </c>
      <c r="AG111" s="525" t="str">
        <f t="shared" ca="1" si="109"/>
        <v>-</v>
      </c>
      <c r="AH111" s="524" t="str">
        <f t="shared" ca="1" si="110"/>
        <v>-</v>
      </c>
      <c r="AI111" s="525" t="str">
        <f t="shared" ca="1" si="111"/>
        <v>-</v>
      </c>
      <c r="AJ111" s="525" t="str">
        <f t="shared" ca="1" si="112"/>
        <v>-</v>
      </c>
      <c r="AK111" s="525" t="str">
        <f t="shared" ca="1" si="113"/>
        <v>-</v>
      </c>
      <c r="AL111" s="525" t="str">
        <f t="shared" ca="1" si="114"/>
        <v>-</v>
      </c>
    </row>
    <row r="112" spans="2:38" x14ac:dyDescent="0.25">
      <c r="B112" s="1176">
        <v>21</v>
      </c>
      <c r="C112" s="1177"/>
      <c r="D112" s="524" t="str">
        <f t="shared" ca="1" si="80"/>
        <v>-</v>
      </c>
      <c r="E112" s="525" t="str">
        <f t="shared" ca="1" si="81"/>
        <v>-</v>
      </c>
      <c r="F112" s="525" t="str">
        <f t="shared" ca="1" si="82"/>
        <v>-</v>
      </c>
      <c r="G112" s="525" t="str">
        <f t="shared" ca="1" si="83"/>
        <v>-</v>
      </c>
      <c r="H112" s="525" t="str">
        <f t="shared" ca="1" si="84"/>
        <v>-</v>
      </c>
      <c r="I112" s="524" t="str">
        <f t="shared" ca="1" si="85"/>
        <v>-</v>
      </c>
      <c r="J112" s="525" t="str">
        <f t="shared" ca="1" si="86"/>
        <v>-</v>
      </c>
      <c r="K112" s="525" t="str">
        <f t="shared" ca="1" si="87"/>
        <v>-</v>
      </c>
      <c r="L112" s="525" t="str">
        <f t="shared" ca="1" si="88"/>
        <v>-</v>
      </c>
      <c r="M112" s="525" t="str">
        <f t="shared" ca="1" si="89"/>
        <v>-</v>
      </c>
      <c r="N112" s="524" t="str">
        <f t="shared" ca="1" si="90"/>
        <v>-</v>
      </c>
      <c r="O112" s="525" t="str">
        <f t="shared" ca="1" si="91"/>
        <v>-</v>
      </c>
      <c r="P112" s="525" t="str">
        <f t="shared" ca="1" si="92"/>
        <v>-</v>
      </c>
      <c r="Q112" s="525" t="str">
        <f t="shared" ca="1" si="93"/>
        <v>-</v>
      </c>
      <c r="R112" s="525" t="str">
        <f t="shared" ca="1" si="94"/>
        <v>-</v>
      </c>
      <c r="S112" s="524" t="str">
        <f t="shared" ca="1" si="95"/>
        <v>-</v>
      </c>
      <c r="T112" s="525" t="str">
        <f t="shared" ca="1" si="96"/>
        <v>-</v>
      </c>
      <c r="U112" s="525" t="str">
        <f t="shared" ca="1" si="97"/>
        <v>-</v>
      </c>
      <c r="V112" s="525" t="str">
        <f t="shared" ca="1" si="98"/>
        <v>-</v>
      </c>
      <c r="W112" s="525" t="str">
        <f t="shared" ca="1" si="99"/>
        <v>-</v>
      </c>
      <c r="X112" s="524" t="str">
        <f t="shared" ca="1" si="100"/>
        <v>-</v>
      </c>
      <c r="Y112" s="525" t="str">
        <f t="shared" ca="1" si="101"/>
        <v>-</v>
      </c>
      <c r="Z112" s="525" t="str">
        <f t="shared" ca="1" si="102"/>
        <v>-</v>
      </c>
      <c r="AA112" s="525" t="str">
        <f t="shared" ca="1" si="103"/>
        <v>-</v>
      </c>
      <c r="AB112" s="525" t="str">
        <f t="shared" ca="1" si="104"/>
        <v>-</v>
      </c>
      <c r="AC112" s="524" t="str">
        <f t="shared" ca="1" si="105"/>
        <v>-</v>
      </c>
      <c r="AD112" s="525" t="str">
        <f t="shared" ca="1" si="106"/>
        <v>-</v>
      </c>
      <c r="AE112" s="525" t="str">
        <f t="shared" ca="1" si="107"/>
        <v>-</v>
      </c>
      <c r="AF112" s="525" t="str">
        <f t="shared" ca="1" si="108"/>
        <v>-</v>
      </c>
      <c r="AG112" s="525" t="str">
        <f t="shared" ca="1" si="109"/>
        <v>-</v>
      </c>
      <c r="AH112" s="524" t="str">
        <f t="shared" ca="1" si="110"/>
        <v>-</v>
      </c>
      <c r="AI112" s="525" t="str">
        <f t="shared" ca="1" si="111"/>
        <v>-</v>
      </c>
      <c r="AJ112" s="525" t="str">
        <f t="shared" ca="1" si="112"/>
        <v>-</v>
      </c>
      <c r="AK112" s="525" t="str">
        <f t="shared" ca="1" si="113"/>
        <v>-</v>
      </c>
      <c r="AL112" s="525" t="str">
        <f t="shared" ca="1" si="114"/>
        <v>-</v>
      </c>
    </row>
    <row r="113" spans="2:38" x14ac:dyDescent="0.25">
      <c r="B113" s="1176">
        <v>22</v>
      </c>
      <c r="C113" s="1177"/>
      <c r="D113" s="524" t="str">
        <f t="shared" ca="1" si="80"/>
        <v>-</v>
      </c>
      <c r="E113" s="525" t="str">
        <f t="shared" ca="1" si="81"/>
        <v>-</v>
      </c>
      <c r="F113" s="525" t="str">
        <f t="shared" ca="1" si="82"/>
        <v>-</v>
      </c>
      <c r="G113" s="525" t="str">
        <f t="shared" ca="1" si="83"/>
        <v>-</v>
      </c>
      <c r="H113" s="525" t="str">
        <f t="shared" ca="1" si="84"/>
        <v>-</v>
      </c>
      <c r="I113" s="524" t="str">
        <f t="shared" ca="1" si="85"/>
        <v>-</v>
      </c>
      <c r="J113" s="525" t="str">
        <f t="shared" ca="1" si="86"/>
        <v>-</v>
      </c>
      <c r="K113" s="525" t="str">
        <f t="shared" ca="1" si="87"/>
        <v>-</v>
      </c>
      <c r="L113" s="525" t="str">
        <f t="shared" ca="1" si="88"/>
        <v>-</v>
      </c>
      <c r="M113" s="525" t="str">
        <f t="shared" ca="1" si="89"/>
        <v>-</v>
      </c>
      <c r="N113" s="524" t="str">
        <f t="shared" ca="1" si="90"/>
        <v>-</v>
      </c>
      <c r="O113" s="525" t="str">
        <f t="shared" ca="1" si="91"/>
        <v>-</v>
      </c>
      <c r="P113" s="525" t="str">
        <f t="shared" ca="1" si="92"/>
        <v>-</v>
      </c>
      <c r="Q113" s="525" t="str">
        <f t="shared" ca="1" si="93"/>
        <v>-</v>
      </c>
      <c r="R113" s="525" t="str">
        <f t="shared" ca="1" si="94"/>
        <v>-</v>
      </c>
      <c r="S113" s="524" t="str">
        <f t="shared" ca="1" si="95"/>
        <v>-</v>
      </c>
      <c r="T113" s="525" t="str">
        <f t="shared" ca="1" si="96"/>
        <v>-</v>
      </c>
      <c r="U113" s="525" t="str">
        <f t="shared" ca="1" si="97"/>
        <v>-</v>
      </c>
      <c r="V113" s="525" t="str">
        <f t="shared" ca="1" si="98"/>
        <v>-</v>
      </c>
      <c r="W113" s="525" t="str">
        <f t="shared" ca="1" si="99"/>
        <v>-</v>
      </c>
      <c r="X113" s="524" t="str">
        <f t="shared" ca="1" si="100"/>
        <v>-</v>
      </c>
      <c r="Y113" s="525" t="str">
        <f t="shared" ca="1" si="101"/>
        <v>-</v>
      </c>
      <c r="Z113" s="525" t="str">
        <f t="shared" ca="1" si="102"/>
        <v>-</v>
      </c>
      <c r="AA113" s="525" t="str">
        <f t="shared" ca="1" si="103"/>
        <v>-</v>
      </c>
      <c r="AB113" s="525" t="str">
        <f t="shared" ca="1" si="104"/>
        <v>-</v>
      </c>
      <c r="AC113" s="524" t="str">
        <f t="shared" ca="1" si="105"/>
        <v>-</v>
      </c>
      <c r="AD113" s="525" t="str">
        <f t="shared" ca="1" si="106"/>
        <v>-</v>
      </c>
      <c r="AE113" s="525" t="str">
        <f t="shared" ca="1" si="107"/>
        <v>-</v>
      </c>
      <c r="AF113" s="525" t="str">
        <f t="shared" ca="1" si="108"/>
        <v>-</v>
      </c>
      <c r="AG113" s="525" t="str">
        <f t="shared" ca="1" si="109"/>
        <v>-</v>
      </c>
      <c r="AH113" s="524" t="str">
        <f t="shared" ca="1" si="110"/>
        <v>-</v>
      </c>
      <c r="AI113" s="525" t="str">
        <f t="shared" ca="1" si="111"/>
        <v>-</v>
      </c>
      <c r="AJ113" s="525" t="str">
        <f t="shared" ca="1" si="112"/>
        <v>-</v>
      </c>
      <c r="AK113" s="525" t="str">
        <f t="shared" ca="1" si="113"/>
        <v>-</v>
      </c>
      <c r="AL113" s="525" t="str">
        <f t="shared" ca="1" si="114"/>
        <v>-</v>
      </c>
    </row>
    <row r="114" spans="2:38" x14ac:dyDescent="0.25">
      <c r="B114" s="1176">
        <v>23</v>
      </c>
      <c r="C114" s="1177"/>
      <c r="D114" s="524" t="str">
        <f t="shared" ca="1" si="80"/>
        <v>-</v>
      </c>
      <c r="E114" s="525" t="str">
        <f t="shared" ca="1" si="81"/>
        <v>-</v>
      </c>
      <c r="F114" s="525" t="str">
        <f t="shared" ca="1" si="82"/>
        <v>-</v>
      </c>
      <c r="G114" s="525" t="str">
        <f t="shared" ca="1" si="83"/>
        <v>-</v>
      </c>
      <c r="H114" s="525" t="str">
        <f t="shared" ca="1" si="84"/>
        <v>-</v>
      </c>
      <c r="I114" s="524" t="str">
        <f t="shared" ca="1" si="85"/>
        <v>-</v>
      </c>
      <c r="J114" s="525" t="str">
        <f t="shared" ca="1" si="86"/>
        <v>-</v>
      </c>
      <c r="K114" s="525" t="str">
        <f t="shared" ca="1" si="87"/>
        <v>-</v>
      </c>
      <c r="L114" s="525" t="str">
        <f t="shared" ca="1" si="88"/>
        <v>-</v>
      </c>
      <c r="M114" s="525" t="str">
        <f t="shared" ca="1" si="89"/>
        <v>-</v>
      </c>
      <c r="N114" s="524" t="str">
        <f t="shared" ca="1" si="90"/>
        <v>-</v>
      </c>
      <c r="O114" s="525" t="str">
        <f t="shared" ca="1" si="91"/>
        <v>-</v>
      </c>
      <c r="P114" s="525" t="str">
        <f t="shared" ca="1" si="92"/>
        <v>-</v>
      </c>
      <c r="Q114" s="525" t="str">
        <f t="shared" ca="1" si="93"/>
        <v>-</v>
      </c>
      <c r="R114" s="525" t="str">
        <f t="shared" ca="1" si="94"/>
        <v>-</v>
      </c>
      <c r="S114" s="524" t="str">
        <f t="shared" ca="1" si="95"/>
        <v>-</v>
      </c>
      <c r="T114" s="525" t="str">
        <f t="shared" ca="1" si="96"/>
        <v>-</v>
      </c>
      <c r="U114" s="525" t="str">
        <f t="shared" ca="1" si="97"/>
        <v>-</v>
      </c>
      <c r="V114" s="525" t="str">
        <f t="shared" ca="1" si="98"/>
        <v>-</v>
      </c>
      <c r="W114" s="525" t="str">
        <f t="shared" ca="1" si="99"/>
        <v>-</v>
      </c>
      <c r="X114" s="524" t="str">
        <f t="shared" ca="1" si="100"/>
        <v>-</v>
      </c>
      <c r="Y114" s="525" t="str">
        <f t="shared" ca="1" si="101"/>
        <v>-</v>
      </c>
      <c r="Z114" s="525" t="str">
        <f t="shared" ca="1" si="102"/>
        <v>-</v>
      </c>
      <c r="AA114" s="525" t="str">
        <f t="shared" ca="1" si="103"/>
        <v>-</v>
      </c>
      <c r="AB114" s="525" t="str">
        <f t="shared" ca="1" si="104"/>
        <v>-</v>
      </c>
      <c r="AC114" s="524" t="str">
        <f t="shared" ca="1" si="105"/>
        <v>-</v>
      </c>
      <c r="AD114" s="525" t="str">
        <f t="shared" ca="1" si="106"/>
        <v>-</v>
      </c>
      <c r="AE114" s="525" t="str">
        <f t="shared" ca="1" si="107"/>
        <v>-</v>
      </c>
      <c r="AF114" s="525" t="str">
        <f t="shared" ca="1" si="108"/>
        <v>-</v>
      </c>
      <c r="AG114" s="525" t="str">
        <f t="shared" ca="1" si="109"/>
        <v>-</v>
      </c>
      <c r="AH114" s="524" t="str">
        <f t="shared" ca="1" si="110"/>
        <v>-</v>
      </c>
      <c r="AI114" s="525" t="str">
        <f t="shared" ca="1" si="111"/>
        <v>-</v>
      </c>
      <c r="AJ114" s="525" t="str">
        <f t="shared" ca="1" si="112"/>
        <v>-</v>
      </c>
      <c r="AK114" s="525" t="str">
        <f t="shared" ca="1" si="113"/>
        <v>-</v>
      </c>
      <c r="AL114" s="525" t="str">
        <f t="shared" ca="1" si="114"/>
        <v>-</v>
      </c>
    </row>
    <row r="115" spans="2:38" x14ac:dyDescent="0.25">
      <c r="B115" s="1176">
        <v>24</v>
      </c>
      <c r="C115" s="1177"/>
      <c r="D115" s="524" t="str">
        <f t="shared" ca="1" si="80"/>
        <v>-</v>
      </c>
      <c r="E115" s="525" t="str">
        <f t="shared" ca="1" si="81"/>
        <v>-</v>
      </c>
      <c r="F115" s="525" t="str">
        <f t="shared" ca="1" si="82"/>
        <v>-</v>
      </c>
      <c r="G115" s="525" t="str">
        <f t="shared" ca="1" si="83"/>
        <v>-</v>
      </c>
      <c r="H115" s="525" t="str">
        <f t="shared" ca="1" si="84"/>
        <v>-</v>
      </c>
      <c r="I115" s="524" t="str">
        <f t="shared" ca="1" si="85"/>
        <v>-</v>
      </c>
      <c r="J115" s="525" t="str">
        <f t="shared" ca="1" si="86"/>
        <v>-</v>
      </c>
      <c r="K115" s="525" t="str">
        <f t="shared" ca="1" si="87"/>
        <v>-</v>
      </c>
      <c r="L115" s="525" t="str">
        <f t="shared" ca="1" si="88"/>
        <v>-</v>
      </c>
      <c r="M115" s="525" t="str">
        <f t="shared" ca="1" si="89"/>
        <v>-</v>
      </c>
      <c r="N115" s="524" t="str">
        <f t="shared" ca="1" si="90"/>
        <v>-</v>
      </c>
      <c r="O115" s="525" t="str">
        <f t="shared" ca="1" si="91"/>
        <v>-</v>
      </c>
      <c r="P115" s="525" t="str">
        <f t="shared" ca="1" si="92"/>
        <v>-</v>
      </c>
      <c r="Q115" s="525" t="str">
        <f t="shared" ca="1" si="93"/>
        <v>-</v>
      </c>
      <c r="R115" s="525" t="str">
        <f t="shared" ca="1" si="94"/>
        <v>-</v>
      </c>
      <c r="S115" s="524" t="str">
        <f t="shared" ca="1" si="95"/>
        <v>-</v>
      </c>
      <c r="T115" s="525" t="str">
        <f t="shared" ca="1" si="96"/>
        <v>-</v>
      </c>
      <c r="U115" s="525" t="str">
        <f t="shared" ca="1" si="97"/>
        <v>-</v>
      </c>
      <c r="V115" s="525" t="str">
        <f t="shared" ca="1" si="98"/>
        <v>-</v>
      </c>
      <c r="W115" s="525" t="str">
        <f t="shared" ca="1" si="99"/>
        <v>-</v>
      </c>
      <c r="X115" s="524" t="str">
        <f t="shared" ca="1" si="100"/>
        <v>-</v>
      </c>
      <c r="Y115" s="525" t="str">
        <f t="shared" ca="1" si="101"/>
        <v>-</v>
      </c>
      <c r="Z115" s="525" t="str">
        <f t="shared" ca="1" si="102"/>
        <v>-</v>
      </c>
      <c r="AA115" s="525" t="str">
        <f t="shared" ca="1" si="103"/>
        <v>-</v>
      </c>
      <c r="AB115" s="525" t="str">
        <f t="shared" ca="1" si="104"/>
        <v>-</v>
      </c>
      <c r="AC115" s="524" t="str">
        <f t="shared" ca="1" si="105"/>
        <v>-</v>
      </c>
      <c r="AD115" s="525" t="str">
        <f t="shared" ca="1" si="106"/>
        <v>-</v>
      </c>
      <c r="AE115" s="525" t="str">
        <f t="shared" ca="1" si="107"/>
        <v>-</v>
      </c>
      <c r="AF115" s="525" t="str">
        <f t="shared" ca="1" si="108"/>
        <v>-</v>
      </c>
      <c r="AG115" s="525" t="str">
        <f t="shared" ca="1" si="109"/>
        <v>-</v>
      </c>
      <c r="AH115" s="524" t="str">
        <f t="shared" ca="1" si="110"/>
        <v>-</v>
      </c>
      <c r="AI115" s="525" t="str">
        <f t="shared" ca="1" si="111"/>
        <v>-</v>
      </c>
      <c r="AJ115" s="525" t="str">
        <f t="shared" ca="1" si="112"/>
        <v>-</v>
      </c>
      <c r="AK115" s="525" t="str">
        <f t="shared" ca="1" si="113"/>
        <v>-</v>
      </c>
      <c r="AL115" s="525" t="str">
        <f t="shared" ca="1" si="114"/>
        <v>-</v>
      </c>
    </row>
  </sheetData>
  <sheetProtection password="B9FF" sheet="1" objects="1" scenarios="1"/>
  <mergeCells count="88">
    <mergeCell ref="N7:R7"/>
    <mergeCell ref="D6:H6"/>
    <mergeCell ref="D7:H7"/>
    <mergeCell ref="AH62:AL62"/>
    <mergeCell ref="B62:C62"/>
    <mergeCell ref="I62:M62"/>
    <mergeCell ref="D62:H62"/>
    <mergeCell ref="B6:C6"/>
    <mergeCell ref="S7:W7"/>
    <mergeCell ref="X7:AB7"/>
    <mergeCell ref="AC7:AG7"/>
    <mergeCell ref="AH7:AL7"/>
    <mergeCell ref="I6:M6"/>
    <mergeCell ref="I7:M7"/>
    <mergeCell ref="AH6:AL6"/>
    <mergeCell ref="AC6:AG6"/>
    <mergeCell ref="X6:AB6"/>
    <mergeCell ref="S6:W6"/>
    <mergeCell ref="N6:R6"/>
    <mergeCell ref="AH63:AL63"/>
    <mergeCell ref="B91:C91"/>
    <mergeCell ref="I63:M63"/>
    <mergeCell ref="D63:H63"/>
    <mergeCell ref="B63:B65"/>
    <mergeCell ref="C64:C65"/>
    <mergeCell ref="B43:C43"/>
    <mergeCell ref="B44:C44"/>
    <mergeCell ref="S63:W63"/>
    <mergeCell ref="X63:AB63"/>
    <mergeCell ref="AC63:AG63"/>
    <mergeCell ref="S62:W62"/>
    <mergeCell ref="X62:AB62"/>
    <mergeCell ref="AC62:AG62"/>
    <mergeCell ref="B3:Y3"/>
    <mergeCell ref="B2:Y2"/>
    <mergeCell ref="B94:C94"/>
    <mergeCell ref="B95:C95"/>
    <mergeCell ref="N63:R63"/>
    <mergeCell ref="B35:C35"/>
    <mergeCell ref="N62:R62"/>
    <mergeCell ref="B34:C34"/>
    <mergeCell ref="B90:C90"/>
    <mergeCell ref="B36:C36"/>
    <mergeCell ref="B37:C37"/>
    <mergeCell ref="B38:C38"/>
    <mergeCell ref="B39:C39"/>
    <mergeCell ref="B40:C40"/>
    <mergeCell ref="B41:C41"/>
    <mergeCell ref="B55:C55"/>
    <mergeCell ref="B56:C56"/>
    <mergeCell ref="B57:C57"/>
    <mergeCell ref="B58:C58"/>
    <mergeCell ref="B53:C53"/>
    <mergeCell ref="B54:C54"/>
    <mergeCell ref="C8:C9"/>
    <mergeCell ref="B7:B9"/>
    <mergeCell ref="B50:C50"/>
    <mergeCell ref="B51:C51"/>
    <mergeCell ref="B52:C52"/>
    <mergeCell ref="B45:C45"/>
    <mergeCell ref="B46:C46"/>
    <mergeCell ref="B47:C47"/>
    <mergeCell ref="B48:C48"/>
    <mergeCell ref="B49:C49"/>
    <mergeCell ref="B42:C42"/>
    <mergeCell ref="B102:C102"/>
    <mergeCell ref="B103:C103"/>
    <mergeCell ref="B92:C92"/>
    <mergeCell ref="B93:C93"/>
    <mergeCell ref="B96:C96"/>
    <mergeCell ref="B97:C97"/>
    <mergeCell ref="B98:C98"/>
    <mergeCell ref="B59:C59"/>
    <mergeCell ref="B115:C115"/>
    <mergeCell ref="B114:C114"/>
    <mergeCell ref="B109:C109"/>
    <mergeCell ref="B110:C110"/>
    <mergeCell ref="B111:C111"/>
    <mergeCell ref="B112:C112"/>
    <mergeCell ref="B113:C113"/>
    <mergeCell ref="B104:C104"/>
    <mergeCell ref="B105:C105"/>
    <mergeCell ref="B106:C106"/>
    <mergeCell ref="B107:C107"/>
    <mergeCell ref="B108:C108"/>
    <mergeCell ref="B99:C99"/>
    <mergeCell ref="B100:C100"/>
    <mergeCell ref="B101:C10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2:AG210"/>
  <sheetViews>
    <sheetView showGridLines="0" zoomScaleNormal="100" workbookViewId="0"/>
  </sheetViews>
  <sheetFormatPr defaultRowHeight="15" x14ac:dyDescent="0.25"/>
  <cols>
    <col min="1" max="1" width="5.7109375" customWidth="1"/>
    <col min="2" max="26" width="7.7109375" customWidth="1"/>
    <col min="27" max="38" width="4.7109375" customWidth="1"/>
  </cols>
  <sheetData>
    <row r="2" spans="1:30" ht="36" customHeight="1" x14ac:dyDescent="0.25">
      <c r="B2" s="1213" t="s">
        <v>792</v>
      </c>
      <c r="C2" s="1213"/>
      <c r="D2" s="1213"/>
      <c r="E2" s="1213"/>
      <c r="F2" s="1213"/>
      <c r="G2" s="1213"/>
      <c r="H2" s="1213"/>
      <c r="I2" s="1213"/>
      <c r="J2" s="1213"/>
      <c r="K2" s="1213"/>
      <c r="L2" s="1213"/>
      <c r="M2" s="1213"/>
      <c r="N2" s="1213"/>
      <c r="O2" s="1213"/>
      <c r="P2" s="1213"/>
      <c r="Q2" s="1213"/>
      <c r="R2" s="1213"/>
      <c r="S2" s="1213"/>
      <c r="T2" s="1213"/>
      <c r="U2" s="1213"/>
      <c r="V2" s="1213"/>
      <c r="W2" s="1213"/>
      <c r="X2" s="1213"/>
      <c r="Y2" s="1213"/>
    </row>
    <row r="3" spans="1:30" ht="50.25" customHeight="1" x14ac:dyDescent="0.25">
      <c r="B3" s="601" t="s">
        <v>793</v>
      </c>
      <c r="C3" s="601"/>
      <c r="D3" s="601"/>
      <c r="E3" s="601"/>
      <c r="F3" s="601"/>
      <c r="G3" s="601"/>
      <c r="H3" s="601"/>
      <c r="I3" s="601"/>
      <c r="J3" s="601"/>
      <c r="K3" s="601"/>
      <c r="L3" s="601"/>
      <c r="M3" s="601"/>
      <c r="N3" s="601"/>
      <c r="O3" s="601"/>
      <c r="P3" s="601"/>
      <c r="Q3" s="601"/>
      <c r="R3" s="601"/>
      <c r="S3" s="601"/>
      <c r="T3" s="601"/>
      <c r="U3" s="601"/>
      <c r="V3" s="601"/>
      <c r="W3" s="601"/>
      <c r="X3" s="601"/>
      <c r="Y3" s="601"/>
    </row>
    <row r="4" spans="1:30"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18.75" x14ac:dyDescent="0.3">
      <c r="A5" s="35"/>
      <c r="B5" s="385" t="s">
        <v>794</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s="35" customFormat="1" ht="18.75" x14ac:dyDescent="0.3">
      <c r="B6" s="385" t="s">
        <v>867</v>
      </c>
    </row>
    <row r="7" spans="1:30" s="568" customFormat="1" ht="18.75" x14ac:dyDescent="0.3">
      <c r="B7" s="385"/>
    </row>
    <row r="8" spans="1:30" s="568" customFormat="1" ht="18.75" x14ac:dyDescent="0.3">
      <c r="B8" s="571" t="s">
        <v>1267</v>
      </c>
    </row>
    <row r="9" spans="1:30" s="35" customFormat="1" x14ac:dyDescent="0.25"/>
    <row r="10" spans="1:30" x14ac:dyDescent="0.25">
      <c r="A10" s="35"/>
      <c r="D10" s="327" t="s">
        <v>796</v>
      </c>
      <c r="E10" s="35"/>
      <c r="F10" s="35"/>
      <c r="G10" s="35"/>
      <c r="H10" s="35"/>
      <c r="J10" s="35"/>
      <c r="K10" s="35"/>
      <c r="L10" s="35"/>
      <c r="M10" s="35"/>
      <c r="N10" s="35"/>
      <c r="O10" s="35"/>
      <c r="P10" s="35"/>
      <c r="Q10" s="35"/>
      <c r="R10" s="35"/>
      <c r="S10" s="35"/>
      <c r="T10" s="35"/>
      <c r="U10" s="35"/>
      <c r="V10" s="35"/>
      <c r="W10" s="35"/>
      <c r="X10" s="35"/>
      <c r="Y10" s="35"/>
      <c r="Z10" s="35"/>
      <c r="AA10" s="35"/>
      <c r="AB10" s="35"/>
      <c r="AC10" s="35"/>
      <c r="AD10" s="35"/>
    </row>
    <row r="11" spans="1:30" x14ac:dyDescent="0.25">
      <c r="A11" s="35"/>
      <c r="B11" s="35"/>
      <c r="C11" s="324">
        <v>100</v>
      </c>
      <c r="D11" s="52" t="s">
        <v>795</v>
      </c>
      <c r="E11" s="35"/>
      <c r="F11" s="35"/>
      <c r="G11" s="35"/>
      <c r="K11" s="35"/>
      <c r="L11" s="35"/>
      <c r="M11" s="35"/>
      <c r="N11" s="35"/>
      <c r="O11" s="35"/>
      <c r="P11" s="35"/>
      <c r="Q11" s="35"/>
      <c r="R11" s="35"/>
      <c r="S11" s="35"/>
      <c r="T11" s="35"/>
      <c r="U11" s="35"/>
      <c r="V11" s="35"/>
      <c r="W11" s="35"/>
      <c r="X11" s="35"/>
      <c r="Y11" s="35"/>
      <c r="Z11" s="35"/>
      <c r="AA11" s="35"/>
      <c r="AB11" s="35"/>
      <c r="AC11" s="35"/>
      <c r="AD11" s="35"/>
    </row>
    <row r="12" spans="1:30" x14ac:dyDescent="0.25">
      <c r="A12" s="35"/>
      <c r="B12" s="35"/>
      <c r="C12" s="35"/>
      <c r="D12" s="35"/>
      <c r="E12" s="35"/>
      <c r="F12" s="35"/>
      <c r="G12" s="35"/>
      <c r="K12" s="35"/>
      <c r="L12" s="35"/>
      <c r="M12" s="35"/>
      <c r="N12" s="35"/>
      <c r="O12" s="35"/>
      <c r="P12" s="35"/>
      <c r="Q12" s="35"/>
      <c r="R12" s="35"/>
      <c r="S12" s="35"/>
      <c r="T12" s="35"/>
      <c r="U12" s="35"/>
      <c r="V12" s="35"/>
      <c r="W12" s="35"/>
      <c r="X12" s="35"/>
      <c r="Y12" s="35"/>
      <c r="Z12" s="35"/>
      <c r="AA12" s="35"/>
      <c r="AB12" s="35"/>
      <c r="AC12" s="35"/>
      <c r="AD12" s="35"/>
    </row>
    <row r="13" spans="1:30" s="35" customFormat="1" x14ac:dyDescent="0.25">
      <c r="B13" s="1070" t="s">
        <v>4</v>
      </c>
      <c r="C13" s="1070"/>
      <c r="D13" s="1070"/>
      <c r="F13" s="1070" t="s">
        <v>911</v>
      </c>
      <c r="G13" s="1070"/>
      <c r="H13" s="1070"/>
      <c r="J13" s="1070" t="s">
        <v>808</v>
      </c>
      <c r="K13" s="1070"/>
      <c r="L13" s="1070"/>
      <c r="O13" s="32" t="s">
        <v>1165</v>
      </c>
    </row>
    <row r="14" spans="1:30" s="35" customFormat="1" x14ac:dyDescent="0.25">
      <c r="B14" s="1203">
        <v>2019</v>
      </c>
      <c r="C14" s="1204"/>
      <c r="D14" s="1205"/>
      <c r="F14" s="1202">
        <v>2019</v>
      </c>
      <c r="G14" s="1202"/>
      <c r="H14" s="1202"/>
      <c r="J14" s="1206">
        <v>2.1000000000000001E-2</v>
      </c>
      <c r="K14" s="1206"/>
      <c r="L14" s="1206"/>
      <c r="O14" s="492" t="s">
        <v>1166</v>
      </c>
      <c r="P14" s="50"/>
      <c r="Q14" s="50"/>
      <c r="R14" s="50"/>
      <c r="S14" s="50"/>
      <c r="T14" s="50"/>
      <c r="U14" s="50"/>
      <c r="V14" s="50"/>
    </row>
    <row r="15" spans="1:30" s="35" customFormat="1" x14ac:dyDescent="0.25"/>
    <row r="16" spans="1:30" s="35" customFormat="1" x14ac:dyDescent="0.25"/>
    <row r="17" spans="1:33" x14ac:dyDescent="0.25">
      <c r="A17" s="35"/>
      <c r="B17" s="889" t="s">
        <v>487</v>
      </c>
      <c r="C17" s="890"/>
      <c r="D17" s="890"/>
      <c r="E17" s="890"/>
      <c r="F17" s="890"/>
      <c r="G17" s="890"/>
      <c r="H17" s="890"/>
      <c r="I17" s="890"/>
      <c r="J17" s="890"/>
      <c r="K17" s="890"/>
      <c r="L17" s="890"/>
      <c r="M17" s="893"/>
      <c r="N17" s="35"/>
      <c r="O17" s="32" t="s">
        <v>864</v>
      </c>
    </row>
    <row r="18" spans="1:33" x14ac:dyDescent="0.25">
      <c r="A18" s="35"/>
      <c r="B18" s="565" t="s">
        <v>822</v>
      </c>
      <c r="C18" s="566">
        <v>2018</v>
      </c>
      <c r="D18" s="696" t="s">
        <v>179</v>
      </c>
      <c r="E18" s="677"/>
      <c r="F18" s="677"/>
      <c r="G18" s="677"/>
      <c r="H18" s="677"/>
      <c r="I18" s="677"/>
      <c r="J18" s="677"/>
      <c r="K18" s="677"/>
      <c r="L18" s="677"/>
      <c r="M18" s="678"/>
      <c r="N18" s="35"/>
      <c r="O18" s="218" t="s">
        <v>862</v>
      </c>
    </row>
    <row r="19" spans="1:33" x14ac:dyDescent="0.25">
      <c r="A19" s="35"/>
      <c r="B19" s="679" t="s">
        <v>178</v>
      </c>
      <c r="C19" s="681"/>
      <c r="D19" s="305">
        <v>1</v>
      </c>
      <c r="E19" s="305">
        <v>2</v>
      </c>
      <c r="F19" s="305">
        <v>3</v>
      </c>
      <c r="G19" s="305">
        <v>4</v>
      </c>
      <c r="H19" s="305">
        <v>5</v>
      </c>
      <c r="I19" s="305">
        <v>6</v>
      </c>
      <c r="J19" s="305">
        <v>7</v>
      </c>
      <c r="K19" s="305">
        <v>8</v>
      </c>
      <c r="L19" s="305">
        <v>9</v>
      </c>
      <c r="M19" s="305">
        <v>10</v>
      </c>
      <c r="N19" s="35"/>
    </row>
    <row r="20" spans="1:33" x14ac:dyDescent="0.25">
      <c r="A20" s="35"/>
      <c r="B20" s="888">
        <v>0</v>
      </c>
      <c r="C20" s="888"/>
      <c r="D20" s="545">
        <v>1.02</v>
      </c>
      <c r="E20" s="545">
        <v>1.42</v>
      </c>
      <c r="F20" s="545">
        <v>0.71</v>
      </c>
      <c r="G20" s="545">
        <v>0.71</v>
      </c>
      <c r="H20" s="545">
        <v>0.62</v>
      </c>
      <c r="I20" s="545">
        <v>0.62</v>
      </c>
      <c r="J20" s="545">
        <v>0.65</v>
      </c>
      <c r="K20" s="545">
        <v>0.67</v>
      </c>
      <c r="L20" s="545">
        <v>0.64</v>
      </c>
      <c r="M20" s="545">
        <v>0.56000000000000005</v>
      </c>
      <c r="N20" s="35"/>
      <c r="O20" s="568"/>
      <c r="P20" s="568"/>
      <c r="Q20" s="568"/>
      <c r="R20" s="568"/>
      <c r="S20" s="568"/>
      <c r="T20" s="568"/>
      <c r="U20" s="568"/>
      <c r="V20" s="568"/>
      <c r="W20" s="568"/>
      <c r="X20" s="568"/>
    </row>
    <row r="21" spans="1:33" x14ac:dyDescent="0.25">
      <c r="A21" s="35"/>
      <c r="B21" s="888">
        <f>B20+TIME(1,0,0)</f>
        <v>4.1666666666666664E-2</v>
      </c>
      <c r="C21" s="888"/>
      <c r="D21" s="545">
        <v>0.75</v>
      </c>
      <c r="E21" s="545">
        <v>1.1499999999999999</v>
      </c>
      <c r="F21" s="545">
        <v>0.44</v>
      </c>
      <c r="G21" s="545">
        <v>0.49</v>
      </c>
      <c r="H21" s="545">
        <v>0.37</v>
      </c>
      <c r="I21" s="545">
        <v>0.39</v>
      </c>
      <c r="J21" s="545">
        <v>0.42</v>
      </c>
      <c r="K21" s="545">
        <v>0.43</v>
      </c>
      <c r="L21" s="545">
        <v>0.41</v>
      </c>
      <c r="M21" s="545">
        <v>0.34</v>
      </c>
      <c r="N21" s="35"/>
      <c r="O21" s="568"/>
      <c r="P21" s="568"/>
      <c r="Q21" s="568"/>
      <c r="R21" s="568"/>
      <c r="S21" s="568"/>
      <c r="T21" s="568"/>
      <c r="U21" s="568"/>
      <c r="V21" s="568"/>
      <c r="W21" s="568"/>
      <c r="X21" s="568"/>
    </row>
    <row r="22" spans="1:33" x14ac:dyDescent="0.25">
      <c r="A22" s="35"/>
      <c r="B22" s="888">
        <f t="shared" ref="B22:B43" si="0">B21+TIME(1,0,0)</f>
        <v>8.3333333333333329E-2</v>
      </c>
      <c r="C22" s="888"/>
      <c r="D22" s="545">
        <v>0.69</v>
      </c>
      <c r="E22" s="545">
        <v>1.07</v>
      </c>
      <c r="F22" s="545">
        <v>0.37</v>
      </c>
      <c r="G22" s="545">
        <v>0.46</v>
      </c>
      <c r="H22" s="545">
        <v>0.32</v>
      </c>
      <c r="I22" s="545">
        <v>0.36</v>
      </c>
      <c r="J22" s="545">
        <v>0.39</v>
      </c>
      <c r="K22" s="545">
        <v>0.38</v>
      </c>
      <c r="L22" s="545">
        <v>0.36</v>
      </c>
      <c r="M22" s="545">
        <v>0.32</v>
      </c>
      <c r="N22" s="35"/>
      <c r="O22" s="568"/>
      <c r="P22" s="568"/>
      <c r="Q22" s="568"/>
      <c r="R22" s="568"/>
      <c r="S22" s="568"/>
      <c r="T22" s="568"/>
      <c r="U22" s="568"/>
      <c r="V22" s="568"/>
      <c r="W22" s="568"/>
      <c r="X22" s="568"/>
    </row>
    <row r="23" spans="1:33" x14ac:dyDescent="0.25">
      <c r="A23" s="35"/>
      <c r="B23" s="888">
        <f t="shared" si="0"/>
        <v>0.125</v>
      </c>
      <c r="C23" s="888"/>
      <c r="D23" s="545">
        <v>0.79</v>
      </c>
      <c r="E23" s="545">
        <v>1.1599999999999999</v>
      </c>
      <c r="F23" s="545">
        <v>0.44</v>
      </c>
      <c r="G23" s="545">
        <v>0.59</v>
      </c>
      <c r="H23" s="545">
        <v>0.37</v>
      </c>
      <c r="I23" s="545">
        <v>0.45</v>
      </c>
      <c r="J23" s="545">
        <v>0.5</v>
      </c>
      <c r="K23" s="545">
        <v>0.44</v>
      </c>
      <c r="L23" s="545">
        <v>0.43</v>
      </c>
      <c r="M23" s="545">
        <v>0.4</v>
      </c>
      <c r="N23" s="35"/>
      <c r="O23" s="568"/>
      <c r="P23" s="568"/>
      <c r="Q23" s="568"/>
      <c r="R23" s="568"/>
      <c r="S23" s="568"/>
      <c r="T23" s="568"/>
      <c r="U23" s="568"/>
      <c r="V23" s="568"/>
      <c r="W23" s="568"/>
      <c r="X23" s="568"/>
    </row>
    <row r="24" spans="1:33" x14ac:dyDescent="0.25">
      <c r="A24" s="35"/>
      <c r="B24" s="888">
        <f t="shared" si="0"/>
        <v>0.16666666666666666</v>
      </c>
      <c r="C24" s="888"/>
      <c r="D24" s="545">
        <v>1.2</v>
      </c>
      <c r="E24" s="545">
        <v>1.52</v>
      </c>
      <c r="F24" s="545">
        <v>0.83</v>
      </c>
      <c r="G24" s="545">
        <v>1.1599999999999999</v>
      </c>
      <c r="H24" s="545">
        <v>0.72</v>
      </c>
      <c r="I24" s="545">
        <v>0.94</v>
      </c>
      <c r="J24" s="545">
        <v>1.04</v>
      </c>
      <c r="K24" s="545">
        <v>0.86</v>
      </c>
      <c r="L24" s="545">
        <v>0.9</v>
      </c>
      <c r="M24" s="545">
        <v>0.7</v>
      </c>
      <c r="N24" s="35"/>
      <c r="O24" s="568"/>
      <c r="P24" s="568"/>
      <c r="Q24" s="568"/>
      <c r="R24" s="568"/>
      <c r="S24" s="568"/>
      <c r="T24" s="568"/>
      <c r="U24" s="568"/>
      <c r="V24" s="568"/>
      <c r="W24" s="568"/>
      <c r="X24" s="568"/>
    </row>
    <row r="25" spans="1:33" x14ac:dyDescent="0.25">
      <c r="A25" s="35"/>
      <c r="B25" s="888">
        <f t="shared" si="0"/>
        <v>0.20833333333333331</v>
      </c>
      <c r="C25" s="888"/>
      <c r="D25" s="545">
        <v>2.58</v>
      </c>
      <c r="E25" s="545">
        <v>2.52</v>
      </c>
      <c r="F25" s="545">
        <v>2.2000000000000002</v>
      </c>
      <c r="G25" s="545">
        <v>2.76</v>
      </c>
      <c r="H25" s="545">
        <v>1.98</v>
      </c>
      <c r="I25" s="545">
        <v>2.42</v>
      </c>
      <c r="J25" s="545">
        <v>2.71</v>
      </c>
      <c r="K25" s="545">
        <v>2.1800000000000002</v>
      </c>
      <c r="L25" s="545">
        <v>2.37</v>
      </c>
      <c r="M25" s="545">
        <v>1.77</v>
      </c>
      <c r="N25" s="35"/>
      <c r="O25" s="568"/>
      <c r="P25" s="568"/>
      <c r="Q25" s="568"/>
      <c r="R25" s="568"/>
      <c r="S25" s="568"/>
      <c r="T25" s="568"/>
      <c r="U25" s="568"/>
      <c r="V25" s="568"/>
      <c r="W25" s="568"/>
      <c r="X25" s="568"/>
    </row>
    <row r="26" spans="1:33" x14ac:dyDescent="0.25">
      <c r="A26" s="35"/>
      <c r="B26" s="888">
        <f t="shared" si="0"/>
        <v>0.24999999999999997</v>
      </c>
      <c r="C26" s="888"/>
      <c r="D26" s="545">
        <v>5.12</v>
      </c>
      <c r="E26" s="545">
        <v>4.16</v>
      </c>
      <c r="F26" s="545">
        <v>4.71</v>
      </c>
      <c r="G26" s="545">
        <v>5.03</v>
      </c>
      <c r="H26" s="545">
        <v>4.42</v>
      </c>
      <c r="I26" s="545">
        <v>4.71</v>
      </c>
      <c r="J26" s="545">
        <v>5.1100000000000003</v>
      </c>
      <c r="K26" s="545">
        <v>4.51</v>
      </c>
      <c r="L26" s="545">
        <v>4.78</v>
      </c>
      <c r="M26" s="545">
        <v>4.1100000000000003</v>
      </c>
      <c r="N26" s="35"/>
      <c r="O26" s="568"/>
      <c r="P26" s="568"/>
      <c r="Q26" s="568"/>
      <c r="R26" s="568"/>
      <c r="S26" s="568"/>
      <c r="T26" s="568"/>
      <c r="U26" s="568"/>
      <c r="V26" s="568"/>
      <c r="W26" s="568"/>
      <c r="X26" s="568"/>
    </row>
    <row r="27" spans="1:33" x14ac:dyDescent="0.25">
      <c r="A27" s="35"/>
      <c r="B27" s="888">
        <f t="shared" si="0"/>
        <v>0.29166666666666663</v>
      </c>
      <c r="C27" s="888"/>
      <c r="D27" s="545">
        <v>6.82</v>
      </c>
      <c r="E27" s="545">
        <v>5.35</v>
      </c>
      <c r="F27" s="545">
        <v>6.7</v>
      </c>
      <c r="G27" s="545">
        <v>6.47</v>
      </c>
      <c r="H27" s="545">
        <v>6.63</v>
      </c>
      <c r="I27" s="545">
        <v>6.15</v>
      </c>
      <c r="J27" s="545">
        <v>6.54</v>
      </c>
      <c r="K27" s="545">
        <v>6.3</v>
      </c>
      <c r="L27" s="545">
        <v>6.61</v>
      </c>
      <c r="M27" s="545">
        <v>6.08</v>
      </c>
      <c r="N27" s="35"/>
      <c r="O27" s="568"/>
      <c r="P27" s="568"/>
      <c r="Q27" s="568"/>
      <c r="R27" s="568"/>
      <c r="S27" s="568"/>
      <c r="T27" s="568"/>
      <c r="U27" s="568"/>
      <c r="V27" s="568"/>
      <c r="W27" s="568"/>
      <c r="X27" s="568"/>
    </row>
    <row r="28" spans="1:33" x14ac:dyDescent="0.25">
      <c r="A28" s="35"/>
      <c r="B28" s="888">
        <f t="shared" si="0"/>
        <v>0.33333333333333331</v>
      </c>
      <c r="C28" s="888"/>
      <c r="D28" s="545">
        <v>6.14</v>
      </c>
      <c r="E28" s="545">
        <v>5.22</v>
      </c>
      <c r="F28" s="545">
        <v>6.26</v>
      </c>
      <c r="G28" s="545">
        <v>5.8</v>
      </c>
      <c r="H28" s="545">
        <v>6.15</v>
      </c>
      <c r="I28" s="545">
        <v>5.63</v>
      </c>
      <c r="J28" s="545">
        <v>5.71</v>
      </c>
      <c r="K28" s="545">
        <v>5.79</v>
      </c>
      <c r="L28" s="545">
        <v>5.86</v>
      </c>
      <c r="M28" s="545">
        <v>5.68</v>
      </c>
      <c r="N28" s="35"/>
      <c r="O28" s="568"/>
      <c r="P28" s="568"/>
      <c r="Q28" s="568"/>
      <c r="R28" s="568"/>
      <c r="S28" s="568"/>
      <c r="T28" s="568"/>
      <c r="U28" s="568"/>
      <c r="V28" s="568"/>
      <c r="W28" s="568"/>
      <c r="X28" s="568"/>
    </row>
    <row r="29" spans="1:33" x14ac:dyDescent="0.25">
      <c r="A29" s="35"/>
      <c r="B29" s="888">
        <f t="shared" si="0"/>
        <v>0.375</v>
      </c>
      <c r="C29" s="888"/>
      <c r="D29" s="545">
        <v>5.26</v>
      </c>
      <c r="E29" s="545">
        <v>5.19</v>
      </c>
      <c r="F29" s="545">
        <v>5.35</v>
      </c>
      <c r="G29" s="545">
        <v>5.32</v>
      </c>
      <c r="H29" s="545">
        <v>5.18</v>
      </c>
      <c r="I29" s="545">
        <v>5.4</v>
      </c>
      <c r="J29" s="545">
        <v>5.13</v>
      </c>
      <c r="K29" s="545">
        <v>5.19</v>
      </c>
      <c r="L29" s="545">
        <v>5.05</v>
      </c>
      <c r="M29" s="545">
        <v>5.53</v>
      </c>
      <c r="N29" s="35"/>
      <c r="O29" s="568"/>
      <c r="P29" s="568"/>
      <c r="Q29" s="568"/>
      <c r="R29" s="568"/>
      <c r="S29" s="568"/>
      <c r="T29" s="568"/>
      <c r="U29" s="568"/>
      <c r="V29" s="568"/>
      <c r="W29" s="568"/>
      <c r="X29" s="568"/>
    </row>
    <row r="30" spans="1:33" x14ac:dyDescent="0.25">
      <c r="A30" s="35"/>
      <c r="B30" s="888">
        <f t="shared" si="0"/>
        <v>0.41666666666666669</v>
      </c>
      <c r="C30" s="888"/>
      <c r="D30" s="545">
        <v>5.0599999999999996</v>
      </c>
      <c r="E30" s="545">
        <v>5.45</v>
      </c>
      <c r="F30" s="545">
        <v>5.16</v>
      </c>
      <c r="G30" s="545">
        <v>5.41</v>
      </c>
      <c r="H30" s="545">
        <v>5.04</v>
      </c>
      <c r="I30" s="545">
        <v>5.58</v>
      </c>
      <c r="J30" s="545">
        <v>5.16</v>
      </c>
      <c r="K30" s="545">
        <v>5.24</v>
      </c>
      <c r="L30" s="545">
        <v>5</v>
      </c>
      <c r="M30" s="545">
        <v>5.61</v>
      </c>
      <c r="N30" s="35"/>
      <c r="O30" s="568"/>
      <c r="P30" s="568"/>
      <c r="Q30" s="568"/>
      <c r="R30" s="568"/>
      <c r="S30" s="568"/>
      <c r="T30" s="568"/>
      <c r="U30" s="568"/>
      <c r="V30" s="568"/>
      <c r="W30" s="568"/>
      <c r="X30" s="568"/>
    </row>
    <row r="31" spans="1:33" x14ac:dyDescent="0.25">
      <c r="A31" s="35"/>
      <c r="B31" s="888">
        <f t="shared" si="0"/>
        <v>0.45833333333333337</v>
      </c>
      <c r="C31" s="888"/>
      <c r="D31" s="545">
        <v>5.22</v>
      </c>
      <c r="E31" s="545">
        <v>5.65</v>
      </c>
      <c r="F31" s="545">
        <v>5.47</v>
      </c>
      <c r="G31" s="545">
        <v>5.61</v>
      </c>
      <c r="H31" s="545">
        <v>5.45</v>
      </c>
      <c r="I31" s="545">
        <v>5.87</v>
      </c>
      <c r="J31" s="545">
        <v>5.39</v>
      </c>
      <c r="K31" s="545">
        <v>5.56</v>
      </c>
      <c r="L31" s="545">
        <v>5.3</v>
      </c>
      <c r="M31" s="545">
        <v>6.09</v>
      </c>
      <c r="N31" s="35"/>
      <c r="O31" s="568"/>
      <c r="P31" s="568"/>
      <c r="Q31" s="568"/>
      <c r="R31" s="568"/>
      <c r="S31" s="568"/>
      <c r="T31" s="568"/>
      <c r="U31" s="568"/>
      <c r="V31" s="568"/>
      <c r="W31" s="568"/>
      <c r="X31" s="568"/>
    </row>
    <row r="32" spans="1:33" x14ac:dyDescent="0.25">
      <c r="A32" s="35"/>
      <c r="B32" s="888">
        <f t="shared" si="0"/>
        <v>0.5</v>
      </c>
      <c r="C32" s="888"/>
      <c r="D32" s="545">
        <v>5.41</v>
      </c>
      <c r="E32" s="545">
        <v>5.8</v>
      </c>
      <c r="F32" s="545">
        <v>5.8</v>
      </c>
      <c r="G32" s="545">
        <v>5.82</v>
      </c>
      <c r="H32" s="545">
        <v>5.85</v>
      </c>
      <c r="I32" s="545">
        <v>6.1</v>
      </c>
      <c r="J32" s="545">
        <v>5.66</v>
      </c>
      <c r="K32" s="545">
        <v>5.95</v>
      </c>
      <c r="L32" s="545">
        <v>5.65</v>
      </c>
      <c r="M32" s="545">
        <v>6.27</v>
      </c>
      <c r="N32" s="35"/>
      <c r="O32" s="568"/>
      <c r="Q32" s="568"/>
      <c r="S32" s="568"/>
      <c r="U32" s="568"/>
      <c r="W32" s="568"/>
      <c r="Y32" s="568"/>
      <c r="AA32" s="568"/>
      <c r="AC32" s="568"/>
      <c r="AE32" s="568"/>
      <c r="AG32" s="568"/>
    </row>
    <row r="33" spans="1:33" x14ac:dyDescent="0.25">
      <c r="A33" s="35"/>
      <c r="B33" s="888">
        <f t="shared" si="0"/>
        <v>0.54166666666666663</v>
      </c>
      <c r="C33" s="888"/>
      <c r="D33" s="545">
        <v>5.56</v>
      </c>
      <c r="E33" s="545">
        <v>6</v>
      </c>
      <c r="F33" s="545">
        <v>5.83</v>
      </c>
      <c r="G33" s="545">
        <v>6</v>
      </c>
      <c r="H33" s="545">
        <v>5.8</v>
      </c>
      <c r="I33" s="545">
        <v>6.2</v>
      </c>
      <c r="J33" s="545">
        <v>5.79</v>
      </c>
      <c r="K33" s="545">
        <v>5.92</v>
      </c>
      <c r="L33" s="545">
        <v>5.72</v>
      </c>
      <c r="M33" s="545">
        <v>6.41</v>
      </c>
      <c r="N33" s="35"/>
      <c r="O33" s="568"/>
      <c r="Q33" s="568"/>
      <c r="S33" s="568"/>
      <c r="U33" s="568"/>
      <c r="W33" s="568"/>
      <c r="Y33" s="568"/>
      <c r="AA33" s="568"/>
      <c r="AC33" s="568"/>
      <c r="AE33" s="568"/>
      <c r="AG33" s="568"/>
    </row>
    <row r="34" spans="1:33" x14ac:dyDescent="0.25">
      <c r="A34" s="35"/>
      <c r="B34" s="888">
        <f t="shared" si="0"/>
        <v>0.58333333333333326</v>
      </c>
      <c r="C34" s="888"/>
      <c r="D34" s="545">
        <v>6.14</v>
      </c>
      <c r="E34" s="545">
        <v>6.44</v>
      </c>
      <c r="F34" s="545">
        <v>6.37</v>
      </c>
      <c r="G34" s="545">
        <v>6.62</v>
      </c>
      <c r="H34" s="545">
        <v>6.41</v>
      </c>
      <c r="I34" s="545">
        <v>6.89</v>
      </c>
      <c r="J34" s="545">
        <v>6.52</v>
      </c>
      <c r="K34" s="545">
        <v>6.57</v>
      </c>
      <c r="L34" s="545">
        <v>6.45</v>
      </c>
      <c r="M34" s="545">
        <v>6.81</v>
      </c>
      <c r="N34" s="35"/>
      <c r="O34" s="568"/>
      <c r="Q34" s="568"/>
      <c r="S34" s="568"/>
      <c r="U34" s="568"/>
      <c r="W34" s="568"/>
      <c r="Y34" s="568"/>
      <c r="AA34" s="568"/>
      <c r="AC34" s="568"/>
      <c r="AE34" s="568"/>
      <c r="AG34" s="568"/>
    </row>
    <row r="35" spans="1:33" x14ac:dyDescent="0.25">
      <c r="A35" s="35"/>
      <c r="B35" s="888">
        <f t="shared" si="0"/>
        <v>0.62499999999999989</v>
      </c>
      <c r="C35" s="888"/>
      <c r="D35" s="545">
        <v>7.07</v>
      </c>
      <c r="E35" s="545">
        <v>7.01</v>
      </c>
      <c r="F35" s="545">
        <v>7.28</v>
      </c>
      <c r="G35" s="545">
        <v>7.62</v>
      </c>
      <c r="H35" s="545">
        <v>7.52</v>
      </c>
      <c r="I35" s="545">
        <v>7.87</v>
      </c>
      <c r="J35" s="545">
        <v>7.7</v>
      </c>
      <c r="K35" s="545">
        <v>7.73</v>
      </c>
      <c r="L35" s="545">
        <v>7.71</v>
      </c>
      <c r="M35" s="545">
        <v>7.61</v>
      </c>
      <c r="N35" s="35"/>
      <c r="O35" s="568"/>
      <c r="Q35" s="568"/>
      <c r="S35" s="568"/>
      <c r="U35" s="568"/>
      <c r="W35" s="568"/>
      <c r="Y35" s="568"/>
      <c r="AA35" s="568"/>
      <c r="AC35" s="568"/>
      <c r="AE35" s="568"/>
      <c r="AG35" s="568"/>
    </row>
    <row r="36" spans="1:33" x14ac:dyDescent="0.25">
      <c r="A36" s="35"/>
      <c r="B36" s="888">
        <f t="shared" si="0"/>
        <v>0.66666666666666652</v>
      </c>
      <c r="C36" s="888"/>
      <c r="D36" s="545">
        <v>7.66</v>
      </c>
      <c r="E36" s="545">
        <v>7.26</v>
      </c>
      <c r="F36" s="545">
        <v>7.8</v>
      </c>
      <c r="G36" s="545">
        <v>8.0399999999999991</v>
      </c>
      <c r="H36" s="545">
        <v>8.1999999999999993</v>
      </c>
      <c r="I36" s="545">
        <v>8.14</v>
      </c>
      <c r="J36" s="545">
        <v>8.2200000000000006</v>
      </c>
      <c r="K36" s="545">
        <v>8.23</v>
      </c>
      <c r="L36" s="545">
        <v>8.3000000000000007</v>
      </c>
      <c r="M36" s="545">
        <v>8.1</v>
      </c>
      <c r="N36" s="35"/>
      <c r="O36" s="568"/>
      <c r="Q36" s="568"/>
      <c r="S36" s="568"/>
      <c r="U36" s="568"/>
      <c r="W36" s="568"/>
      <c r="Y36" s="568"/>
      <c r="AA36" s="568"/>
      <c r="AC36" s="568"/>
      <c r="AE36" s="568"/>
      <c r="AG36" s="568"/>
    </row>
    <row r="37" spans="1:33" x14ac:dyDescent="0.25">
      <c r="A37" s="35"/>
      <c r="B37" s="888">
        <f t="shared" si="0"/>
        <v>0.70833333333333315</v>
      </c>
      <c r="C37" s="888"/>
      <c r="D37" s="545">
        <v>7.44</v>
      </c>
      <c r="E37" s="545">
        <v>6.81</v>
      </c>
      <c r="F37" s="545">
        <v>7.71</v>
      </c>
      <c r="G37" s="545">
        <v>7.51</v>
      </c>
      <c r="H37" s="545">
        <v>8.16</v>
      </c>
      <c r="I37" s="545">
        <v>7.44</v>
      </c>
      <c r="J37" s="545">
        <v>7.9</v>
      </c>
      <c r="K37" s="545">
        <v>7.88</v>
      </c>
      <c r="L37" s="545">
        <v>8.06</v>
      </c>
      <c r="M37" s="545">
        <v>7.93</v>
      </c>
      <c r="N37" s="35"/>
      <c r="O37" s="568"/>
      <c r="Q37" s="568"/>
      <c r="S37" s="568"/>
      <c r="U37" s="568"/>
      <c r="W37" s="568"/>
      <c r="Y37" s="568"/>
      <c r="AA37" s="568"/>
      <c r="AC37" s="568"/>
      <c r="AE37" s="568"/>
      <c r="AG37" s="568"/>
    </row>
    <row r="38" spans="1:33" x14ac:dyDescent="0.25">
      <c r="A38" s="35"/>
      <c r="B38" s="888">
        <f t="shared" si="0"/>
        <v>0.74999999999999978</v>
      </c>
      <c r="C38" s="888"/>
      <c r="D38" s="545">
        <v>5.62</v>
      </c>
      <c r="E38" s="545">
        <v>5.28</v>
      </c>
      <c r="F38" s="545">
        <v>6.04</v>
      </c>
      <c r="G38" s="545">
        <v>5.44</v>
      </c>
      <c r="H38" s="545">
        <v>6.26</v>
      </c>
      <c r="I38" s="545">
        <v>5.61</v>
      </c>
      <c r="J38" s="545">
        <v>5.8</v>
      </c>
      <c r="K38" s="545">
        <v>5.95</v>
      </c>
      <c r="L38" s="545">
        <v>6.1</v>
      </c>
      <c r="M38" s="545">
        <v>5.91</v>
      </c>
      <c r="N38" s="35"/>
      <c r="O38" s="568"/>
      <c r="Q38" s="568"/>
      <c r="S38" s="568"/>
      <c r="U38" s="568"/>
      <c r="W38" s="568"/>
      <c r="Y38" s="568"/>
      <c r="AA38" s="568"/>
      <c r="AC38" s="568"/>
      <c r="AE38" s="568"/>
      <c r="AG38" s="568"/>
    </row>
    <row r="39" spans="1:33" x14ac:dyDescent="0.25">
      <c r="A39" s="35"/>
      <c r="B39" s="888">
        <f t="shared" si="0"/>
        <v>0.79166666666666641</v>
      </c>
      <c r="C39" s="888"/>
      <c r="D39" s="545">
        <v>4.1900000000000004</v>
      </c>
      <c r="E39" s="545">
        <v>4.26</v>
      </c>
      <c r="F39" s="545">
        <v>4.57</v>
      </c>
      <c r="G39" s="545">
        <v>4.08</v>
      </c>
      <c r="H39" s="545">
        <v>4.74</v>
      </c>
      <c r="I39" s="545">
        <v>4.32</v>
      </c>
      <c r="J39" s="545">
        <v>4.33</v>
      </c>
      <c r="K39" s="545">
        <v>4.5999999999999996</v>
      </c>
      <c r="L39" s="545">
        <v>4.62</v>
      </c>
      <c r="M39" s="545">
        <v>4.66</v>
      </c>
      <c r="N39" s="35"/>
      <c r="O39" s="568"/>
      <c r="Q39" s="568"/>
      <c r="S39" s="568"/>
      <c r="U39" s="568"/>
      <c r="W39" s="568"/>
      <c r="Y39" s="568"/>
      <c r="AA39" s="568"/>
      <c r="AC39" s="568"/>
      <c r="AE39" s="568"/>
      <c r="AG39" s="568"/>
    </row>
    <row r="40" spans="1:33" x14ac:dyDescent="0.25">
      <c r="A40" s="35"/>
      <c r="B40" s="888">
        <f t="shared" si="0"/>
        <v>0.83333333333333304</v>
      </c>
      <c r="C40" s="888"/>
      <c r="D40" s="545">
        <v>3.46</v>
      </c>
      <c r="E40" s="545">
        <v>3.65</v>
      </c>
      <c r="F40" s="545">
        <v>3.71</v>
      </c>
      <c r="G40" s="545">
        <v>3.35</v>
      </c>
      <c r="H40" s="545">
        <v>3.83</v>
      </c>
      <c r="I40" s="545">
        <v>3.42</v>
      </c>
      <c r="J40" s="545">
        <v>3.56</v>
      </c>
      <c r="K40" s="545">
        <v>3.73</v>
      </c>
      <c r="L40" s="545">
        <v>3.75</v>
      </c>
      <c r="M40" s="545">
        <v>3.69</v>
      </c>
      <c r="N40" s="35"/>
      <c r="O40" s="568"/>
      <c r="Q40" s="568"/>
      <c r="S40" s="568"/>
      <c r="U40" s="568"/>
      <c r="W40" s="568"/>
      <c r="Y40" s="568"/>
      <c r="AA40" s="568"/>
      <c r="AC40" s="568"/>
      <c r="AE40" s="568"/>
      <c r="AG40" s="568"/>
    </row>
    <row r="41" spans="1:33" x14ac:dyDescent="0.25">
      <c r="A41" s="35"/>
      <c r="B41" s="888">
        <f t="shared" si="0"/>
        <v>0.87499999999999967</v>
      </c>
      <c r="C41" s="888"/>
      <c r="D41" s="545">
        <v>2.91</v>
      </c>
      <c r="E41" s="545">
        <v>3.13</v>
      </c>
      <c r="F41" s="545">
        <v>2.9</v>
      </c>
      <c r="G41" s="545">
        <v>2.63</v>
      </c>
      <c r="H41" s="545">
        <v>2.86</v>
      </c>
      <c r="I41" s="545">
        <v>2.57</v>
      </c>
      <c r="J41" s="545">
        <v>2.7</v>
      </c>
      <c r="K41" s="545">
        <v>2.77</v>
      </c>
      <c r="L41" s="545">
        <v>2.81</v>
      </c>
      <c r="M41" s="545">
        <v>2.67</v>
      </c>
      <c r="N41" s="35"/>
      <c r="O41" s="568"/>
      <c r="Q41" s="568"/>
      <c r="S41" s="568"/>
      <c r="U41" s="568"/>
      <c r="W41" s="568"/>
      <c r="Y41" s="568"/>
      <c r="AA41" s="568"/>
      <c r="AC41" s="568"/>
      <c r="AE41" s="568"/>
      <c r="AG41" s="568"/>
    </row>
    <row r="42" spans="1:33" x14ac:dyDescent="0.25">
      <c r="A42" s="35"/>
      <c r="B42" s="888">
        <f t="shared" si="0"/>
        <v>0.9166666666666663</v>
      </c>
      <c r="C42" s="888"/>
      <c r="D42" s="545">
        <v>2.25</v>
      </c>
      <c r="E42" s="545">
        <v>2.5299999999999998</v>
      </c>
      <c r="F42" s="545">
        <v>2.0099999999999998</v>
      </c>
      <c r="G42" s="545">
        <v>1.83</v>
      </c>
      <c r="H42" s="545">
        <v>1.9</v>
      </c>
      <c r="I42" s="545">
        <v>1.77</v>
      </c>
      <c r="J42" s="545">
        <v>1.86</v>
      </c>
      <c r="K42" s="545">
        <v>1.88</v>
      </c>
      <c r="L42" s="545">
        <v>1.9</v>
      </c>
      <c r="M42" s="545">
        <v>1.72</v>
      </c>
      <c r="N42" s="35"/>
      <c r="O42" s="568"/>
      <c r="Q42" s="568"/>
      <c r="S42" s="568"/>
      <c r="U42" s="568"/>
      <c r="W42" s="568"/>
      <c r="Y42" s="568"/>
      <c r="AA42" s="568"/>
      <c r="AC42" s="568"/>
      <c r="AE42" s="568"/>
      <c r="AG42" s="568"/>
    </row>
    <row r="43" spans="1:33" x14ac:dyDescent="0.25">
      <c r="A43" s="35"/>
      <c r="B43" s="888">
        <f t="shared" si="0"/>
        <v>0.95833333333333293</v>
      </c>
      <c r="C43" s="888"/>
      <c r="D43" s="545">
        <v>1.64</v>
      </c>
      <c r="E43" s="545">
        <v>1.97</v>
      </c>
      <c r="F43" s="545">
        <v>1.34</v>
      </c>
      <c r="G43" s="545">
        <v>1.25</v>
      </c>
      <c r="H43" s="545">
        <v>1.22</v>
      </c>
      <c r="I43" s="545">
        <v>1.1499999999999999</v>
      </c>
      <c r="J43" s="545">
        <v>1.21</v>
      </c>
      <c r="K43" s="545">
        <v>1.24</v>
      </c>
      <c r="L43" s="545">
        <v>1.22</v>
      </c>
      <c r="M43" s="545">
        <v>1.03</v>
      </c>
      <c r="N43" s="35"/>
      <c r="O43" s="568"/>
      <c r="Q43" s="568"/>
      <c r="S43" s="568"/>
      <c r="U43" s="568"/>
      <c r="W43" s="568"/>
      <c r="Y43" s="568"/>
      <c r="AA43" s="568"/>
      <c r="AC43" s="568"/>
      <c r="AE43" s="568"/>
      <c r="AG43" s="568"/>
    </row>
    <row r="44" spans="1:33" s="35" customFormat="1" x14ac:dyDescent="0.25">
      <c r="B44" s="888" t="s">
        <v>239</v>
      </c>
      <c r="C44" s="888"/>
      <c r="D44" s="326">
        <f>SUM(D20:D43)</f>
        <v>100</v>
      </c>
      <c r="E44" s="326">
        <f t="shared" ref="E44:M44" si="1">SUM(E20:E43)</f>
        <v>100.00000000000001</v>
      </c>
      <c r="F44" s="326">
        <f t="shared" si="1"/>
        <v>100</v>
      </c>
      <c r="G44" s="326">
        <f t="shared" si="1"/>
        <v>99.999999999999986</v>
      </c>
      <c r="H44" s="326">
        <f t="shared" si="1"/>
        <v>100</v>
      </c>
      <c r="I44" s="326">
        <f t="shared" si="1"/>
        <v>100</v>
      </c>
      <c r="J44" s="326">
        <f t="shared" si="1"/>
        <v>100</v>
      </c>
      <c r="K44" s="326">
        <f t="shared" si="1"/>
        <v>100</v>
      </c>
      <c r="L44" s="326">
        <f t="shared" si="1"/>
        <v>100</v>
      </c>
      <c r="M44" s="326">
        <f t="shared" si="1"/>
        <v>99.999999999999986</v>
      </c>
    </row>
    <row r="45" spans="1:33" x14ac:dyDescent="0.25">
      <c r="A45" s="35"/>
      <c r="B45" s="35"/>
      <c r="C45" s="35"/>
      <c r="D45" s="35"/>
      <c r="E45" s="35"/>
      <c r="F45" s="35"/>
      <c r="G45" s="35"/>
      <c r="H45" s="35"/>
      <c r="I45" s="35"/>
      <c r="J45" s="35"/>
      <c r="K45" s="35"/>
      <c r="L45" s="35"/>
      <c r="M45" s="35"/>
      <c r="N45" s="35"/>
      <c r="P45" s="35"/>
      <c r="Q45" s="35"/>
      <c r="R45" s="35"/>
      <c r="S45" s="35"/>
      <c r="T45" s="35"/>
      <c r="U45" s="35"/>
      <c r="V45" s="35"/>
      <c r="W45" s="35"/>
      <c r="X45" s="35"/>
      <c r="Y45" s="35"/>
      <c r="Z45" s="35"/>
      <c r="AA45" s="35"/>
      <c r="AB45" s="35"/>
      <c r="AC45" s="35"/>
      <c r="AD45" s="35"/>
    </row>
    <row r="46" spans="1:33" s="35" customFormat="1" x14ac:dyDescent="0.25"/>
    <row r="47" spans="1:33" x14ac:dyDescent="0.25">
      <c r="A47" s="35"/>
      <c r="B47" s="845" t="s">
        <v>4</v>
      </c>
      <c r="C47" s="845"/>
      <c r="D47" s="1216">
        <v>2018</v>
      </c>
      <c r="E47" s="1216"/>
      <c r="F47" s="840" t="s">
        <v>488</v>
      </c>
      <c r="G47" s="840"/>
      <c r="H47" s="840"/>
      <c r="I47" s="840"/>
      <c r="J47" s="840"/>
      <c r="K47" s="840"/>
      <c r="L47" s="840"/>
      <c r="M47" s="840"/>
      <c r="N47" s="840"/>
      <c r="O47" s="840"/>
      <c r="P47" s="840"/>
      <c r="Q47" s="840"/>
      <c r="R47" s="840"/>
      <c r="S47" s="840"/>
      <c r="T47" s="840"/>
      <c r="U47" s="840"/>
      <c r="V47" s="840"/>
      <c r="W47" s="840"/>
      <c r="X47" s="840"/>
      <c r="Y47" s="840"/>
      <c r="AA47" s="32" t="s">
        <v>1164</v>
      </c>
      <c r="AB47" s="35"/>
      <c r="AC47" s="35"/>
      <c r="AD47" s="35"/>
      <c r="AE47" s="35"/>
    </row>
    <row r="48" spans="1:33" s="35" customFormat="1" x14ac:dyDescent="0.25">
      <c r="B48" s="875" t="s">
        <v>222</v>
      </c>
      <c r="C48" s="696" t="s">
        <v>209</v>
      </c>
      <c r="D48" s="677"/>
      <c r="E48" s="678"/>
      <c r="F48" s="935" t="s">
        <v>179</v>
      </c>
      <c r="G48" s="936"/>
      <c r="H48" s="936"/>
      <c r="I48" s="936"/>
      <c r="J48" s="936"/>
      <c r="K48" s="936"/>
      <c r="L48" s="936"/>
      <c r="M48" s="936"/>
      <c r="N48" s="936"/>
      <c r="O48" s="936"/>
      <c r="P48" s="936"/>
      <c r="Q48" s="936"/>
      <c r="R48" s="936"/>
      <c r="S48" s="936"/>
      <c r="T48" s="936"/>
      <c r="U48" s="936"/>
      <c r="V48" s="936"/>
      <c r="W48" s="936"/>
      <c r="X48" s="936"/>
      <c r="Y48" s="937"/>
      <c r="Z48"/>
      <c r="AA48" s="218" t="s">
        <v>863</v>
      </c>
    </row>
    <row r="49" spans="2:26" s="35" customFormat="1" x14ac:dyDescent="0.25">
      <c r="B49" s="777"/>
      <c r="C49" s="679"/>
      <c r="D49" s="680"/>
      <c r="E49" s="681"/>
      <c r="F49" s="679">
        <v>1</v>
      </c>
      <c r="G49" s="681"/>
      <c r="H49" s="679">
        <v>2</v>
      </c>
      <c r="I49" s="681"/>
      <c r="J49" s="679">
        <v>3</v>
      </c>
      <c r="K49" s="681"/>
      <c r="L49" s="679">
        <v>4</v>
      </c>
      <c r="M49" s="681"/>
      <c r="N49" s="679">
        <v>5</v>
      </c>
      <c r="O49" s="681"/>
      <c r="P49" s="679">
        <v>6</v>
      </c>
      <c r="Q49" s="681"/>
      <c r="R49" s="679">
        <v>7</v>
      </c>
      <c r="S49" s="681"/>
      <c r="T49" s="679">
        <v>8</v>
      </c>
      <c r="U49" s="681"/>
      <c r="V49" s="679">
        <v>9</v>
      </c>
      <c r="W49" s="681"/>
      <c r="X49" s="679">
        <v>10</v>
      </c>
      <c r="Y49" s="681"/>
      <c r="Z49"/>
    </row>
    <row r="50" spans="2:26" s="35" customFormat="1" x14ac:dyDescent="0.25">
      <c r="B50" s="298">
        <v>0</v>
      </c>
      <c r="C50" s="1021" t="s">
        <v>506</v>
      </c>
      <c r="D50" s="1022"/>
      <c r="E50" s="1023"/>
      <c r="F50" s="1236">
        <v>1</v>
      </c>
      <c r="G50" s="1237"/>
      <c r="H50" s="1236">
        <v>1</v>
      </c>
      <c r="I50" s="1237"/>
      <c r="J50" s="1236">
        <v>1</v>
      </c>
      <c r="K50" s="1237"/>
      <c r="L50" s="1236">
        <v>1</v>
      </c>
      <c r="M50" s="1237"/>
      <c r="N50" s="1236">
        <v>1</v>
      </c>
      <c r="O50" s="1237"/>
      <c r="P50" s="1236">
        <v>1</v>
      </c>
      <c r="Q50" s="1237"/>
      <c r="R50" s="1236">
        <v>1</v>
      </c>
      <c r="S50" s="1237"/>
      <c r="T50" s="1236">
        <v>1</v>
      </c>
      <c r="U50" s="1237"/>
      <c r="V50" s="1236">
        <v>1</v>
      </c>
      <c r="W50" s="1237"/>
      <c r="X50" s="1236">
        <v>1</v>
      </c>
      <c r="Y50" s="1237"/>
      <c r="Z50"/>
    </row>
    <row r="51" spans="2:26" s="35" customFormat="1" x14ac:dyDescent="0.25">
      <c r="B51" s="298">
        <v>1</v>
      </c>
      <c r="C51" s="1021" t="s">
        <v>210</v>
      </c>
      <c r="D51" s="1022"/>
      <c r="E51" s="1023"/>
      <c r="F51" s="1209">
        <v>1.085</v>
      </c>
      <c r="G51" s="1211"/>
      <c r="H51" s="1209">
        <v>1.403</v>
      </c>
      <c r="I51" s="1211"/>
      <c r="J51" s="1209">
        <v>1.091</v>
      </c>
      <c r="K51" s="1211"/>
      <c r="L51" s="1209">
        <v>1.169</v>
      </c>
      <c r="M51" s="1211"/>
      <c r="N51" s="1209">
        <v>1.08</v>
      </c>
      <c r="O51" s="1211"/>
      <c r="P51" s="1209">
        <v>1.2310000000000001</v>
      </c>
      <c r="Q51" s="1211"/>
      <c r="R51" s="1209">
        <v>1.1419999999999999</v>
      </c>
      <c r="S51" s="1211"/>
      <c r="T51" s="1209">
        <v>1.254</v>
      </c>
      <c r="U51" s="1211"/>
      <c r="V51" s="1209">
        <v>1.1519999999999999</v>
      </c>
      <c r="W51" s="1211"/>
      <c r="X51" s="1209">
        <v>1.5620000000000001</v>
      </c>
      <c r="Y51" s="1211"/>
      <c r="Z51"/>
    </row>
    <row r="52" spans="2:26" s="35" customFormat="1" x14ac:dyDescent="0.25">
      <c r="B52" s="298">
        <v>2</v>
      </c>
      <c r="C52" s="1021" t="s">
        <v>211</v>
      </c>
      <c r="D52" s="1022"/>
      <c r="E52" s="1023"/>
      <c r="F52" s="1209">
        <v>1.046</v>
      </c>
      <c r="G52" s="1211"/>
      <c r="H52" s="1209">
        <v>1.127</v>
      </c>
      <c r="I52" s="1211"/>
      <c r="J52" s="1209">
        <v>1.056</v>
      </c>
      <c r="K52" s="1211"/>
      <c r="L52" s="1209">
        <v>1.103</v>
      </c>
      <c r="M52" s="1211"/>
      <c r="N52" s="1209">
        <v>1.075</v>
      </c>
      <c r="O52" s="1211"/>
      <c r="P52" s="1209">
        <v>1.169</v>
      </c>
      <c r="Q52" s="1211"/>
      <c r="R52" s="1209">
        <v>1.1200000000000001</v>
      </c>
      <c r="S52" s="1211"/>
      <c r="T52" s="1209">
        <v>1.181</v>
      </c>
      <c r="U52" s="1211"/>
      <c r="V52" s="1209">
        <v>1.113</v>
      </c>
      <c r="W52" s="1211"/>
      <c r="X52" s="1209">
        <v>1.478</v>
      </c>
      <c r="Y52" s="1211"/>
      <c r="Z52"/>
    </row>
    <row r="53" spans="2:26" s="35" customFormat="1" x14ac:dyDescent="0.25">
      <c r="B53" s="298">
        <v>3</v>
      </c>
      <c r="C53" s="306" t="s">
        <v>212</v>
      </c>
      <c r="D53" s="307"/>
      <c r="E53" s="308"/>
      <c r="F53" s="1209">
        <v>0.96</v>
      </c>
      <c r="G53" s="1211"/>
      <c r="H53" s="1209">
        <v>1.111</v>
      </c>
      <c r="I53" s="1211"/>
      <c r="J53" s="1209">
        <v>0.98899999999999999</v>
      </c>
      <c r="K53" s="1211"/>
      <c r="L53" s="1209">
        <v>1.032</v>
      </c>
      <c r="M53" s="1211"/>
      <c r="N53" s="1209">
        <v>1.032</v>
      </c>
      <c r="O53" s="1211"/>
      <c r="P53" s="1209">
        <v>1.1120000000000001</v>
      </c>
      <c r="Q53" s="1211"/>
      <c r="R53" s="1209">
        <v>1.0389999999999999</v>
      </c>
      <c r="S53" s="1211"/>
      <c r="T53" s="1209">
        <v>1.093</v>
      </c>
      <c r="U53" s="1211"/>
      <c r="V53" s="1209">
        <v>1.024</v>
      </c>
      <c r="W53" s="1211"/>
      <c r="X53" s="1209">
        <v>1.373</v>
      </c>
      <c r="Y53" s="1211"/>
      <c r="Z53"/>
    </row>
    <row r="54" spans="2:26" s="35" customFormat="1" x14ac:dyDescent="0.25">
      <c r="B54" s="298">
        <v>4</v>
      </c>
      <c r="C54" s="306" t="s">
        <v>213</v>
      </c>
      <c r="D54" s="307"/>
      <c r="E54" s="308"/>
      <c r="F54" s="1209">
        <v>0.91200000000000003</v>
      </c>
      <c r="G54" s="1211"/>
      <c r="H54" s="1209">
        <v>0.94</v>
      </c>
      <c r="I54" s="1211"/>
      <c r="J54" s="1209">
        <v>0.95199999999999996</v>
      </c>
      <c r="K54" s="1211"/>
      <c r="L54" s="1209">
        <v>0.96099999999999997</v>
      </c>
      <c r="M54" s="1211"/>
      <c r="N54" s="1209">
        <v>0.93300000000000005</v>
      </c>
      <c r="O54" s="1211"/>
      <c r="P54" s="1209">
        <v>0.99299999999999999</v>
      </c>
      <c r="Q54" s="1211"/>
      <c r="R54" s="1209">
        <v>0.96899999999999997</v>
      </c>
      <c r="S54" s="1211"/>
      <c r="T54" s="1209">
        <v>1.0169999999999999</v>
      </c>
      <c r="U54" s="1211"/>
      <c r="V54" s="1209">
        <v>0.95899999999999996</v>
      </c>
      <c r="W54" s="1211"/>
      <c r="X54" s="1209">
        <v>1.123</v>
      </c>
      <c r="Y54" s="1211"/>
      <c r="Z54"/>
    </row>
    <row r="55" spans="2:26" s="35" customFormat="1" x14ac:dyDescent="0.25">
      <c r="B55" s="298">
        <v>5</v>
      </c>
      <c r="C55" s="306" t="s">
        <v>214</v>
      </c>
      <c r="D55" s="307"/>
      <c r="E55" s="308"/>
      <c r="F55" s="1209">
        <v>0.95299999999999996</v>
      </c>
      <c r="G55" s="1211"/>
      <c r="H55" s="1209">
        <v>0.89</v>
      </c>
      <c r="I55" s="1211"/>
      <c r="J55" s="1209">
        <v>0.94</v>
      </c>
      <c r="K55" s="1211"/>
      <c r="L55" s="1209">
        <v>0.92400000000000004</v>
      </c>
      <c r="M55" s="1211"/>
      <c r="N55" s="1209">
        <v>0.89900000000000002</v>
      </c>
      <c r="O55" s="1211"/>
      <c r="P55" s="1209">
        <v>0.90400000000000003</v>
      </c>
      <c r="Q55" s="1211"/>
      <c r="R55" s="1209">
        <v>0.92700000000000005</v>
      </c>
      <c r="S55" s="1211"/>
      <c r="T55" s="1209">
        <v>0.90100000000000002</v>
      </c>
      <c r="U55" s="1211"/>
      <c r="V55" s="1209">
        <v>0.92900000000000005</v>
      </c>
      <c r="W55" s="1211"/>
      <c r="X55" s="1209">
        <v>0.83</v>
      </c>
      <c r="Y55" s="1211"/>
      <c r="Z55"/>
    </row>
    <row r="56" spans="2:26" s="35" customFormat="1" x14ac:dyDescent="0.25">
      <c r="B56" s="298">
        <v>6</v>
      </c>
      <c r="C56" s="306" t="s">
        <v>215</v>
      </c>
      <c r="D56" s="307"/>
      <c r="E56" s="308"/>
      <c r="F56" s="1209">
        <v>0.86399999999999999</v>
      </c>
      <c r="G56" s="1211"/>
      <c r="H56" s="1209">
        <v>0.96499999999999997</v>
      </c>
      <c r="I56" s="1211"/>
      <c r="J56" s="1209">
        <v>0.93700000000000006</v>
      </c>
      <c r="K56" s="1211"/>
      <c r="L56" s="1209">
        <v>0.98399999999999999</v>
      </c>
      <c r="M56" s="1211"/>
      <c r="N56" s="1209">
        <v>0.88100000000000001</v>
      </c>
      <c r="O56" s="1211"/>
      <c r="P56" s="1209">
        <v>0.90700000000000003</v>
      </c>
      <c r="Q56" s="1211"/>
      <c r="R56" s="1209">
        <v>0.90900000000000003</v>
      </c>
      <c r="S56" s="1211"/>
      <c r="T56" s="1209">
        <v>0.88600000000000001</v>
      </c>
      <c r="U56" s="1211"/>
      <c r="V56" s="1209">
        <v>0.92500000000000004</v>
      </c>
      <c r="W56" s="1211"/>
      <c r="X56" s="1209">
        <v>0.78600000000000003</v>
      </c>
      <c r="Y56" s="1211"/>
      <c r="Z56"/>
    </row>
    <row r="57" spans="2:26" s="35" customFormat="1" x14ac:dyDescent="0.25">
      <c r="B57" s="298">
        <v>7</v>
      </c>
      <c r="C57" s="306" t="s">
        <v>216</v>
      </c>
      <c r="D57" s="307"/>
      <c r="E57" s="308"/>
      <c r="F57" s="1209">
        <v>0.94499999999999995</v>
      </c>
      <c r="G57" s="1211"/>
      <c r="H57" s="1209">
        <v>0.80800000000000005</v>
      </c>
      <c r="I57" s="1211"/>
      <c r="J57" s="1209">
        <v>0.95499999999999996</v>
      </c>
      <c r="K57" s="1211"/>
      <c r="L57" s="1209">
        <v>0.98</v>
      </c>
      <c r="M57" s="1211"/>
      <c r="N57" s="1209">
        <v>0.95899999999999996</v>
      </c>
      <c r="O57" s="1211"/>
      <c r="P57" s="1209">
        <v>0.89500000000000002</v>
      </c>
      <c r="Q57" s="1211"/>
      <c r="R57" s="1209">
        <v>0.92200000000000004</v>
      </c>
      <c r="S57" s="1211"/>
      <c r="T57" s="1209">
        <v>0.86099999999999999</v>
      </c>
      <c r="U57" s="1211"/>
      <c r="V57" s="1209">
        <v>0.91600000000000004</v>
      </c>
      <c r="W57" s="1211"/>
      <c r="X57" s="1209">
        <v>0.69599999999999995</v>
      </c>
      <c r="Y57" s="1211"/>
      <c r="Z57"/>
    </row>
    <row r="58" spans="2:26" s="35" customFormat="1" x14ac:dyDescent="0.25">
      <c r="B58" s="298">
        <v>8</v>
      </c>
      <c r="C58" s="306" t="s">
        <v>217</v>
      </c>
      <c r="D58" s="307"/>
      <c r="E58" s="308"/>
      <c r="F58" s="1209">
        <v>0.84199999999999997</v>
      </c>
      <c r="G58" s="1211"/>
      <c r="H58" s="1209">
        <v>0.81200000000000006</v>
      </c>
      <c r="I58" s="1211"/>
      <c r="J58" s="1209">
        <v>0.93400000000000005</v>
      </c>
      <c r="K58" s="1211"/>
      <c r="L58" s="1209">
        <v>0.878</v>
      </c>
      <c r="M58" s="1211"/>
      <c r="N58" s="1209">
        <v>0.91100000000000003</v>
      </c>
      <c r="O58" s="1211"/>
      <c r="P58" s="1209">
        <v>0.88400000000000001</v>
      </c>
      <c r="Q58" s="1211"/>
      <c r="R58" s="1209">
        <v>0.90700000000000003</v>
      </c>
      <c r="S58" s="1211"/>
      <c r="T58" s="1209">
        <v>0.873</v>
      </c>
      <c r="U58" s="1211"/>
      <c r="V58" s="1209">
        <v>0.94499999999999995</v>
      </c>
      <c r="W58" s="1211"/>
      <c r="X58" s="1209">
        <v>0.80400000000000005</v>
      </c>
      <c r="Y58" s="1211"/>
      <c r="Z58"/>
    </row>
    <row r="59" spans="2:26" s="35" customFormat="1" x14ac:dyDescent="0.25">
      <c r="B59" s="298">
        <v>9</v>
      </c>
      <c r="C59" s="306" t="s">
        <v>218</v>
      </c>
      <c r="D59" s="307"/>
      <c r="E59" s="308"/>
      <c r="F59" s="1209">
        <v>1.069</v>
      </c>
      <c r="G59" s="1211"/>
      <c r="H59" s="1209">
        <v>0.93100000000000005</v>
      </c>
      <c r="I59" s="1211"/>
      <c r="J59" s="1209">
        <v>0.96199999999999997</v>
      </c>
      <c r="K59" s="1211"/>
      <c r="L59" s="1209">
        <v>1.04</v>
      </c>
      <c r="M59" s="1211"/>
      <c r="N59" s="1209">
        <v>0.96099999999999997</v>
      </c>
      <c r="O59" s="1211"/>
      <c r="P59" s="1209">
        <v>0.91900000000000004</v>
      </c>
      <c r="Q59" s="1211"/>
      <c r="R59" s="1209">
        <v>0.96399999999999997</v>
      </c>
      <c r="S59" s="1211"/>
      <c r="T59" s="1209">
        <v>0.91100000000000003</v>
      </c>
      <c r="U59" s="1211"/>
      <c r="V59" s="1209">
        <v>0.97899999999999998</v>
      </c>
      <c r="W59" s="1211"/>
      <c r="X59" s="1209">
        <v>0.97599999999999998</v>
      </c>
      <c r="Y59" s="1211"/>
      <c r="Z59"/>
    </row>
    <row r="60" spans="2:26" s="35" customFormat="1" x14ac:dyDescent="0.25">
      <c r="B60" s="298">
        <v>10</v>
      </c>
      <c r="C60" s="306" t="s">
        <v>219</v>
      </c>
      <c r="D60" s="307"/>
      <c r="E60" s="308"/>
      <c r="F60" s="1209">
        <v>0.99</v>
      </c>
      <c r="G60" s="1211"/>
      <c r="H60" s="1209">
        <v>0.91800000000000004</v>
      </c>
      <c r="I60" s="1211"/>
      <c r="J60" s="1209">
        <v>0.94399999999999995</v>
      </c>
      <c r="K60" s="1211"/>
      <c r="L60" s="1209">
        <v>0.91500000000000004</v>
      </c>
      <c r="M60" s="1211"/>
      <c r="N60" s="1209">
        <v>0.94</v>
      </c>
      <c r="O60" s="1211"/>
      <c r="P60" s="1209">
        <v>0.93600000000000005</v>
      </c>
      <c r="Q60" s="1211"/>
      <c r="R60" s="1209">
        <v>0.96099999999999997</v>
      </c>
      <c r="S60" s="1211"/>
      <c r="T60" s="1209">
        <v>0.94399999999999995</v>
      </c>
      <c r="U60" s="1211"/>
      <c r="V60" s="1209">
        <v>0.91600000000000004</v>
      </c>
      <c r="W60" s="1211"/>
      <c r="X60" s="1209">
        <v>1.0649999999999999</v>
      </c>
      <c r="Y60" s="1211"/>
      <c r="Z60"/>
    </row>
    <row r="61" spans="2:26" s="35" customFormat="1" x14ac:dyDescent="0.25">
      <c r="B61" s="298">
        <v>11</v>
      </c>
      <c r="C61" s="306" t="s">
        <v>220</v>
      </c>
      <c r="D61" s="307"/>
      <c r="E61" s="308"/>
      <c r="F61" s="1209">
        <v>0.93100000000000005</v>
      </c>
      <c r="G61" s="1211"/>
      <c r="H61" s="1209">
        <v>0.96799999999999997</v>
      </c>
      <c r="I61" s="1211"/>
      <c r="J61" s="1209">
        <v>1.0049999999999999</v>
      </c>
      <c r="K61" s="1211"/>
      <c r="L61" s="1209">
        <v>1.0049999999999999</v>
      </c>
      <c r="M61" s="1211"/>
      <c r="N61" s="1209">
        <v>1.006</v>
      </c>
      <c r="O61" s="1211"/>
      <c r="P61" s="1209">
        <v>1.087</v>
      </c>
      <c r="Q61" s="1211"/>
      <c r="R61" s="1209">
        <v>1.056</v>
      </c>
      <c r="S61" s="1211"/>
      <c r="T61" s="1209">
        <v>1.0860000000000001</v>
      </c>
      <c r="U61" s="1211"/>
      <c r="V61" s="1209">
        <v>1.0609999999999999</v>
      </c>
      <c r="W61" s="1211"/>
      <c r="X61" s="1209">
        <v>1.2729999999999999</v>
      </c>
      <c r="Y61" s="1211"/>
      <c r="Z61"/>
    </row>
    <row r="62" spans="2:26" s="35" customFormat="1" x14ac:dyDescent="0.25">
      <c r="B62" s="298">
        <v>12</v>
      </c>
      <c r="C62" s="306" t="s">
        <v>221</v>
      </c>
      <c r="D62" s="307"/>
      <c r="E62" s="308"/>
      <c r="F62" s="1209">
        <v>0.98299999999999998</v>
      </c>
      <c r="G62" s="1211"/>
      <c r="H62" s="1209">
        <v>1.03</v>
      </c>
      <c r="I62" s="1211"/>
      <c r="J62" s="1209">
        <v>1.0029999999999999</v>
      </c>
      <c r="K62" s="1211"/>
      <c r="L62" s="1209">
        <v>1.069</v>
      </c>
      <c r="M62" s="1211"/>
      <c r="N62" s="1209">
        <v>1.0089999999999999</v>
      </c>
      <c r="O62" s="1211"/>
      <c r="P62" s="1209">
        <v>1.1000000000000001</v>
      </c>
      <c r="Q62" s="1211"/>
      <c r="R62" s="1209">
        <v>1.0509999999999999</v>
      </c>
      <c r="S62" s="1211"/>
      <c r="T62" s="1209">
        <v>1.1140000000000001</v>
      </c>
      <c r="U62" s="1211"/>
      <c r="V62" s="1209">
        <v>1.4139999999999999</v>
      </c>
      <c r="W62" s="1211"/>
      <c r="X62" s="1209">
        <v>1.3240000000000001</v>
      </c>
      <c r="Y62" s="1211"/>
      <c r="Z62"/>
    </row>
    <row r="63" spans="2:26" s="35" customFormat="1" x14ac:dyDescent="0.25"/>
    <row r="64" spans="2:26" s="35" customFormat="1" x14ac:dyDescent="0.25"/>
    <row r="65" spans="1:30" s="35" customFormat="1" x14ac:dyDescent="0.25">
      <c r="B65" s="944" t="s">
        <v>941</v>
      </c>
      <c r="C65" s="944"/>
      <c r="D65" s="944"/>
      <c r="E65" s="944"/>
      <c r="F65" s="944"/>
      <c r="G65" s="944"/>
      <c r="I65" s="32" t="s">
        <v>865</v>
      </c>
    </row>
    <row r="66" spans="1:30" s="35" customFormat="1" x14ac:dyDescent="0.25">
      <c r="B66" s="944"/>
      <c r="C66" s="944"/>
      <c r="D66" s="944"/>
      <c r="E66" s="944"/>
      <c r="F66" s="944"/>
      <c r="G66" s="944"/>
      <c r="I66" s="382" t="s">
        <v>861</v>
      </c>
    </row>
    <row r="67" spans="1:30" s="35" customFormat="1" x14ac:dyDescent="0.25">
      <c r="B67" s="845" t="s">
        <v>4</v>
      </c>
      <c r="C67" s="845"/>
      <c r="D67" s="845"/>
      <c r="E67" s="1216">
        <v>2017</v>
      </c>
      <c r="F67" s="1216"/>
      <c r="G67" s="1216"/>
      <c r="I67" s="52" t="s">
        <v>55</v>
      </c>
    </row>
    <row r="68" spans="1:30" s="35" customFormat="1" x14ac:dyDescent="0.25">
      <c r="B68" s="845" t="s">
        <v>206</v>
      </c>
      <c r="C68" s="845"/>
      <c r="D68" s="845"/>
      <c r="E68" s="1232">
        <v>56951</v>
      </c>
      <c r="F68" s="1232"/>
      <c r="G68" s="1232"/>
      <c r="I68" s="383" t="s">
        <v>1265</v>
      </c>
    </row>
    <row r="69" spans="1:30" s="35" customFormat="1" x14ac:dyDescent="0.25"/>
    <row r="70" spans="1:30" s="35" customFormat="1" x14ac:dyDescent="0.25"/>
    <row r="71" spans="1:30" x14ac:dyDescent="0.25">
      <c r="A71" s="35"/>
      <c r="B71" s="945" t="s">
        <v>951</v>
      </c>
      <c r="C71" s="946"/>
      <c r="D71" s="946"/>
      <c r="E71" s="946"/>
      <c r="F71" s="946"/>
      <c r="G71" s="946"/>
      <c r="H71" s="946"/>
      <c r="I71" s="946"/>
      <c r="J71" s="1037"/>
      <c r="L71" s="32" t="s">
        <v>955</v>
      </c>
      <c r="P71" s="27"/>
      <c r="Q71" s="35"/>
      <c r="R71" s="35"/>
      <c r="S71" s="35"/>
      <c r="T71" s="35"/>
      <c r="U71" s="35"/>
      <c r="V71" s="35"/>
      <c r="W71" s="35"/>
      <c r="X71" s="35"/>
      <c r="Z71" s="35"/>
      <c r="AA71" s="35"/>
      <c r="AB71" s="35"/>
      <c r="AC71" s="35"/>
      <c r="AD71" s="35"/>
    </row>
    <row r="72" spans="1:30" x14ac:dyDescent="0.25">
      <c r="A72" s="35"/>
      <c r="B72" s="613" t="s">
        <v>4</v>
      </c>
      <c r="C72" s="699"/>
      <c r="D72" s="614"/>
      <c r="E72" s="1233">
        <v>2018</v>
      </c>
      <c r="F72" s="1234"/>
      <c r="G72" s="1234"/>
      <c r="H72" s="1234"/>
      <c r="I72" s="1234"/>
      <c r="J72" s="1235"/>
      <c r="L72" s="218" t="s">
        <v>54</v>
      </c>
      <c r="P72" s="35"/>
      <c r="R72" s="35"/>
      <c r="S72" s="35"/>
      <c r="T72" s="35"/>
      <c r="U72" s="35"/>
      <c r="V72" s="35"/>
      <c r="W72" s="35"/>
      <c r="X72" s="35"/>
      <c r="Z72" s="35"/>
      <c r="AA72" s="35"/>
      <c r="AB72" s="35"/>
      <c r="AC72" s="35"/>
      <c r="AD72" s="35"/>
    </row>
    <row r="73" spans="1:30" x14ac:dyDescent="0.25">
      <c r="A73" s="35"/>
      <c r="B73" s="613" t="s">
        <v>197</v>
      </c>
      <c r="C73" s="699"/>
      <c r="D73" s="614"/>
      <c r="E73" s="613" t="s">
        <v>237</v>
      </c>
      <c r="F73" s="614"/>
      <c r="G73" s="613" t="s">
        <v>238</v>
      </c>
      <c r="H73" s="614"/>
      <c r="I73" s="613" t="s">
        <v>239</v>
      </c>
      <c r="J73" s="614"/>
      <c r="L73" s="52" t="s">
        <v>51</v>
      </c>
      <c r="P73" s="35"/>
      <c r="Q73" s="32"/>
      <c r="S73" s="35"/>
      <c r="T73" s="35"/>
      <c r="U73" s="35"/>
      <c r="V73" s="35"/>
      <c r="W73" s="35"/>
      <c r="X73" s="35"/>
      <c r="Z73" s="35"/>
      <c r="AA73" s="35"/>
      <c r="AB73" s="35"/>
      <c r="AC73" s="35"/>
      <c r="AD73" s="35"/>
    </row>
    <row r="74" spans="1:30" s="35" customFormat="1" x14ac:dyDescent="0.25">
      <c r="B74" s="891" t="s">
        <v>950</v>
      </c>
      <c r="C74" s="829"/>
      <c r="D74" s="892"/>
      <c r="E74" s="1230">
        <v>24.91</v>
      </c>
      <c r="F74" s="1231"/>
      <c r="G74" s="1230">
        <v>11.41</v>
      </c>
      <c r="H74" s="1231"/>
      <c r="I74" s="942">
        <f>E74+G74</f>
        <v>36.32</v>
      </c>
      <c r="J74" s="943"/>
      <c r="L74" s="383" t="s">
        <v>1193</v>
      </c>
      <c r="Q74" s="32"/>
    </row>
    <row r="75" spans="1:30" x14ac:dyDescent="0.25">
      <c r="A75" s="35"/>
      <c r="B75" s="891" t="s">
        <v>240</v>
      </c>
      <c r="C75" s="829"/>
      <c r="D75" s="892"/>
      <c r="E75" s="1230">
        <v>14.13</v>
      </c>
      <c r="F75" s="1231"/>
      <c r="G75" s="1230">
        <v>13.84</v>
      </c>
      <c r="H75" s="1231"/>
      <c r="I75" s="942">
        <f>E75+G75</f>
        <v>27.97</v>
      </c>
      <c r="J75" s="943"/>
      <c r="L75" s="218" t="s">
        <v>908</v>
      </c>
      <c r="P75" s="35"/>
      <c r="Q75" s="35"/>
      <c r="R75" s="3"/>
      <c r="S75" s="35"/>
      <c r="T75" s="35"/>
      <c r="U75" s="35"/>
      <c r="V75" s="4"/>
      <c r="W75" s="35"/>
      <c r="X75" s="35"/>
      <c r="Z75" s="35"/>
      <c r="AA75" s="35"/>
      <c r="AB75" s="35"/>
      <c r="AC75" s="35"/>
      <c r="AD75" s="35"/>
    </row>
    <row r="76" spans="1:30" x14ac:dyDescent="0.25">
      <c r="A76" s="35"/>
      <c r="B76" s="847" t="s">
        <v>241</v>
      </c>
      <c r="C76" s="847"/>
      <c r="D76" s="847"/>
      <c r="E76" s="1214">
        <v>21.91</v>
      </c>
      <c r="F76" s="1214"/>
      <c r="G76" s="1214">
        <v>13.84</v>
      </c>
      <c r="H76" s="1214"/>
      <c r="I76" s="1229">
        <f>E76+G76</f>
        <v>35.75</v>
      </c>
      <c r="J76" s="1229"/>
      <c r="L76" s="218" t="s">
        <v>909</v>
      </c>
      <c r="P76" s="35"/>
      <c r="Q76" s="35"/>
      <c r="R76" s="35"/>
      <c r="S76" s="35"/>
      <c r="T76" s="35"/>
      <c r="U76" s="35"/>
      <c r="V76" s="4"/>
      <c r="W76" s="35"/>
      <c r="X76" s="35"/>
      <c r="Z76" s="35"/>
      <c r="AA76" s="35"/>
      <c r="AB76" s="35"/>
      <c r="AC76" s="35"/>
      <c r="AD76" s="35"/>
    </row>
    <row r="77" spans="1:30" x14ac:dyDescent="0.25">
      <c r="A77" s="35"/>
      <c r="B77" s="35"/>
      <c r="C77" s="35"/>
      <c r="D77" s="35"/>
      <c r="E77" s="35"/>
      <c r="F77" s="35"/>
      <c r="G77" s="35"/>
      <c r="H77" s="35"/>
      <c r="I77" s="35"/>
      <c r="J77" s="35"/>
      <c r="L77" s="383" t="s">
        <v>1194</v>
      </c>
      <c r="P77" s="35"/>
      <c r="Q77" s="35"/>
      <c r="S77" s="35"/>
      <c r="T77" s="35"/>
      <c r="U77" s="35"/>
      <c r="V77" s="4"/>
      <c r="W77" s="35"/>
      <c r="X77" s="35"/>
      <c r="Z77" s="35"/>
      <c r="AA77" s="35"/>
      <c r="AB77" s="35"/>
      <c r="AC77" s="35"/>
      <c r="AD77" s="35"/>
    </row>
    <row r="78" spans="1:30" s="35" customFormat="1" x14ac:dyDescent="0.25">
      <c r="L78" s="218" t="s">
        <v>953</v>
      </c>
      <c r="V78" s="4"/>
    </row>
    <row r="79" spans="1:30" s="35" customFormat="1" x14ac:dyDescent="0.25">
      <c r="V79" s="4"/>
    </row>
    <row r="80" spans="1:30" x14ac:dyDescent="0.25">
      <c r="A80" s="35"/>
      <c r="B80" s="35"/>
      <c r="C80" s="35"/>
      <c r="D80" s="35"/>
      <c r="E80" s="35"/>
      <c r="F80" s="35"/>
      <c r="G80" s="35"/>
      <c r="H80" s="35"/>
      <c r="I80" s="35"/>
      <c r="J80" s="35"/>
      <c r="L80" s="32" t="s">
        <v>954</v>
      </c>
      <c r="P80" s="35"/>
      <c r="Q80" s="35"/>
      <c r="R80" s="35"/>
      <c r="S80" s="35"/>
      <c r="T80" s="35"/>
      <c r="U80" s="35"/>
      <c r="V80" s="4"/>
      <c r="W80" s="35"/>
      <c r="X80" s="35"/>
      <c r="Z80" s="35"/>
      <c r="AA80" s="35"/>
      <c r="AB80" s="35"/>
      <c r="AC80" s="35"/>
      <c r="AD80" s="35"/>
    </row>
    <row r="81" spans="1:30" x14ac:dyDescent="0.25">
      <c r="A81" s="35"/>
      <c r="B81" s="35"/>
      <c r="C81" s="35"/>
      <c r="D81" s="35"/>
      <c r="E81" s="35"/>
      <c r="F81" s="35"/>
      <c r="G81" s="35"/>
      <c r="H81" s="35"/>
      <c r="I81" s="35"/>
      <c r="J81" s="35"/>
      <c r="K81" s="35"/>
      <c r="L81" s="382" t="s">
        <v>52</v>
      </c>
      <c r="M81" s="35"/>
      <c r="N81" s="35"/>
      <c r="O81" s="35"/>
      <c r="P81" s="35"/>
      <c r="Q81" s="35"/>
      <c r="R81" s="35"/>
      <c r="S81" s="35"/>
      <c r="T81" s="35"/>
      <c r="U81" s="35"/>
      <c r="V81" s="35"/>
      <c r="W81" s="35"/>
      <c r="X81" s="35"/>
      <c r="Z81" s="35"/>
      <c r="AA81" s="35"/>
      <c r="AB81" s="35"/>
      <c r="AC81" s="35"/>
      <c r="AD81" s="35"/>
    </row>
    <row r="82" spans="1:30" s="35" customFormat="1" x14ac:dyDescent="0.25">
      <c r="L82" s="52" t="s">
        <v>51</v>
      </c>
    </row>
    <row r="83" spans="1:30" s="35" customFormat="1" ht="15.75" x14ac:dyDescent="0.25">
      <c r="L83" s="384" t="s">
        <v>53</v>
      </c>
    </row>
    <row r="84" spans="1:30" s="35" customFormat="1" x14ac:dyDescent="0.25">
      <c r="L84" s="382" t="s">
        <v>866</v>
      </c>
    </row>
    <row r="85" spans="1:30" s="35" customFormat="1" x14ac:dyDescent="0.25"/>
    <row r="86" spans="1:30" s="35" customFormat="1" x14ac:dyDescent="0.25"/>
    <row r="87" spans="1:30" ht="15" customHeight="1" x14ac:dyDescent="0.25">
      <c r="A87" s="35"/>
      <c r="B87" s="944" t="s">
        <v>491</v>
      </c>
      <c r="C87" s="944"/>
      <c r="D87" s="944"/>
      <c r="E87" s="944"/>
      <c r="F87" s="944"/>
      <c r="G87" s="944"/>
      <c r="K87" s="35"/>
      <c r="L87" s="32" t="s">
        <v>868</v>
      </c>
      <c r="V87" s="4"/>
      <c r="W87" s="35"/>
      <c r="X87" s="35"/>
      <c r="Z87" s="35"/>
      <c r="AA87" s="35"/>
      <c r="AB87" s="35"/>
      <c r="AC87" s="35"/>
      <c r="AD87" s="35"/>
    </row>
    <row r="88" spans="1:30" x14ac:dyDescent="0.25">
      <c r="A88" s="35"/>
      <c r="B88" s="944"/>
      <c r="C88" s="944"/>
      <c r="D88" s="944"/>
      <c r="E88" s="944"/>
      <c r="F88" s="944"/>
      <c r="G88" s="944"/>
      <c r="K88" s="35"/>
      <c r="L88" s="382" t="s">
        <v>258</v>
      </c>
      <c r="V88" s="4"/>
      <c r="W88" s="35"/>
      <c r="X88" s="35"/>
      <c r="AB88" s="35"/>
      <c r="AC88" s="35"/>
      <c r="AD88" s="35"/>
    </row>
    <row r="89" spans="1:30" x14ac:dyDescent="0.25">
      <c r="A89" s="35"/>
      <c r="B89" s="845" t="s">
        <v>31</v>
      </c>
      <c r="C89" s="845"/>
      <c r="D89" s="845"/>
      <c r="E89" s="1206">
        <v>5.5E-2</v>
      </c>
      <c r="F89" s="1206"/>
      <c r="G89" s="1206"/>
      <c r="K89" s="35"/>
      <c r="L89" s="52" t="s">
        <v>260</v>
      </c>
      <c r="V89" s="35"/>
      <c r="W89" s="35"/>
      <c r="X89" s="35"/>
      <c r="AD89" s="35"/>
    </row>
    <row r="90" spans="1:30" ht="15.75" x14ac:dyDescent="0.25">
      <c r="A90" s="35"/>
      <c r="B90" s="845" t="s">
        <v>32</v>
      </c>
      <c r="C90" s="845"/>
      <c r="D90" s="845"/>
      <c r="E90" s="1228">
        <f>HourlyDiscount</f>
        <v>7.4200000000000001E-6</v>
      </c>
      <c r="F90" s="1228"/>
      <c r="G90" s="1228"/>
      <c r="K90" s="35"/>
      <c r="L90" s="384" t="s">
        <v>257</v>
      </c>
      <c r="V90" s="4"/>
      <c r="W90" s="35"/>
      <c r="X90" s="35"/>
      <c r="AD90" s="35"/>
    </row>
    <row r="91" spans="1:30" x14ac:dyDescent="0.25">
      <c r="A91" s="35"/>
      <c r="B91" s="35"/>
      <c r="C91" s="35"/>
      <c r="D91" s="35"/>
      <c r="E91" s="35"/>
      <c r="F91" s="35"/>
      <c r="G91" s="35"/>
      <c r="H91" s="35"/>
      <c r="I91" s="35"/>
      <c r="J91" s="35"/>
      <c r="K91" s="35"/>
      <c r="L91" s="35"/>
      <c r="M91" s="35"/>
      <c r="N91" s="35"/>
      <c r="O91" s="35"/>
      <c r="P91" s="35"/>
    </row>
    <row r="92" spans="1:30" s="35" customFormat="1" x14ac:dyDescent="0.25"/>
    <row r="93" spans="1:30" x14ac:dyDescent="0.25">
      <c r="A93" s="35"/>
      <c r="B93" s="843" t="s">
        <v>497</v>
      </c>
      <c r="C93" s="843"/>
      <c r="D93" s="843"/>
      <c r="E93" s="843"/>
      <c r="F93" s="843"/>
      <c r="G93" s="843"/>
      <c r="H93" s="843"/>
      <c r="I93" s="843"/>
      <c r="J93" s="843"/>
      <c r="K93" s="843"/>
      <c r="L93" s="843"/>
      <c r="M93" s="35"/>
      <c r="N93" s="32" t="s">
        <v>869</v>
      </c>
      <c r="P93" s="35"/>
      <c r="Q93" s="35"/>
      <c r="R93" s="35"/>
      <c r="S93" s="35"/>
      <c r="T93" s="35"/>
      <c r="U93" s="35"/>
      <c r="V93" s="35"/>
      <c r="W93" s="35"/>
      <c r="X93" s="35"/>
    </row>
    <row r="94" spans="1:30" x14ac:dyDescent="0.25">
      <c r="A94" s="35"/>
      <c r="B94" s="613" t="s">
        <v>4</v>
      </c>
      <c r="C94" s="614"/>
      <c r="D94" s="1225">
        <v>2017</v>
      </c>
      <c r="E94" s="1226"/>
      <c r="F94" s="1226"/>
      <c r="G94" s="1226"/>
      <c r="H94" s="1226"/>
      <c r="I94" s="1226"/>
      <c r="J94" s="1226"/>
      <c r="K94" s="1226"/>
      <c r="L94" s="1227"/>
      <c r="M94" s="35"/>
      <c r="N94" s="382" t="s">
        <v>870</v>
      </c>
      <c r="O94" s="35"/>
      <c r="Q94" s="35"/>
      <c r="R94" s="35"/>
      <c r="S94" s="35"/>
      <c r="T94" s="35"/>
      <c r="U94" s="35"/>
      <c r="V94" s="35"/>
      <c r="W94" s="35"/>
      <c r="X94" s="35"/>
    </row>
    <row r="95" spans="1:30" x14ac:dyDescent="0.25">
      <c r="A95" s="35"/>
      <c r="B95" s="875"/>
      <c r="C95" s="875"/>
      <c r="D95" s="875" t="s">
        <v>289</v>
      </c>
      <c r="E95" s="875"/>
      <c r="F95" s="875" t="s">
        <v>307</v>
      </c>
      <c r="G95" s="875"/>
      <c r="H95" s="875" t="s">
        <v>291</v>
      </c>
      <c r="I95" s="875"/>
      <c r="J95" s="875" t="s">
        <v>292</v>
      </c>
      <c r="K95" s="875"/>
      <c r="L95" s="875"/>
      <c r="M95" s="35"/>
      <c r="N95" s="52" t="s">
        <v>46</v>
      </c>
      <c r="O95" s="35"/>
      <c r="P95" s="3"/>
      <c r="Q95" s="35"/>
      <c r="R95" s="35"/>
      <c r="S95" s="35"/>
      <c r="T95" s="35"/>
      <c r="U95" s="35"/>
      <c r="V95" s="35"/>
      <c r="W95" s="35"/>
      <c r="X95" s="35"/>
    </row>
    <row r="96" spans="1:30" x14ac:dyDescent="0.25">
      <c r="A96" s="35"/>
      <c r="B96" s="777"/>
      <c r="C96" s="777"/>
      <c r="D96" s="777" t="s">
        <v>293</v>
      </c>
      <c r="E96" s="777"/>
      <c r="F96" s="777" t="s">
        <v>293</v>
      </c>
      <c r="G96" s="777"/>
      <c r="H96" s="777" t="s">
        <v>293</v>
      </c>
      <c r="I96" s="777"/>
      <c r="J96" s="777" t="s">
        <v>293</v>
      </c>
      <c r="K96" s="777"/>
      <c r="L96" s="777"/>
      <c r="M96" s="35"/>
      <c r="N96" s="383" t="s">
        <v>1264</v>
      </c>
      <c r="O96" s="35"/>
      <c r="Q96" s="35"/>
      <c r="R96" s="35"/>
      <c r="S96" s="35"/>
      <c r="T96" s="35"/>
      <c r="U96" s="35"/>
      <c r="V96" s="35"/>
      <c r="W96" s="35"/>
      <c r="X96" s="35"/>
    </row>
    <row r="97" spans="1:30" x14ac:dyDescent="0.25">
      <c r="A97" s="35"/>
      <c r="B97" s="613" t="s">
        <v>286</v>
      </c>
      <c r="C97" s="614"/>
      <c r="D97" s="1225">
        <v>0.33600000000000002</v>
      </c>
      <c r="E97" s="1227"/>
      <c r="F97" s="1225">
        <v>0.16300000000000001</v>
      </c>
      <c r="G97" s="1227"/>
      <c r="H97" s="1225">
        <v>3.1E-2</v>
      </c>
      <c r="I97" s="1227"/>
      <c r="J97" s="1225">
        <v>7.0000000000000007E-2</v>
      </c>
      <c r="K97" s="1226"/>
      <c r="L97" s="1227"/>
      <c r="M97" s="35"/>
      <c r="N97" s="35"/>
      <c r="O97" s="35"/>
      <c r="P97" s="35"/>
      <c r="Q97" s="35"/>
    </row>
    <row r="98" spans="1:30" x14ac:dyDescent="0.25">
      <c r="A98" s="35"/>
      <c r="B98" s="845" t="s">
        <v>301</v>
      </c>
      <c r="C98" s="845"/>
      <c r="D98" s="876">
        <f>ROUND(D97+F97+H97+J97,2)</f>
        <v>0.6</v>
      </c>
      <c r="E98" s="876"/>
      <c r="F98" s="876"/>
      <c r="G98" s="876"/>
      <c r="H98" s="876"/>
      <c r="I98" s="876"/>
      <c r="J98" s="876"/>
      <c r="K98" s="876"/>
      <c r="L98" s="876"/>
      <c r="M98" s="35"/>
      <c r="N98" s="52" t="s">
        <v>945</v>
      </c>
      <c r="O98" s="35"/>
      <c r="P98" s="35"/>
      <c r="Q98" s="35"/>
    </row>
    <row r="99" spans="1:30" x14ac:dyDescent="0.25">
      <c r="A99" s="35"/>
      <c r="M99" s="35"/>
      <c r="N99" s="35"/>
      <c r="O99" s="35"/>
      <c r="P99" s="35"/>
      <c r="Q99" s="35"/>
      <c r="R99" s="27"/>
      <c r="S99" s="35"/>
      <c r="T99" s="35"/>
      <c r="U99" s="35"/>
      <c r="V99" s="35"/>
      <c r="W99" s="35"/>
    </row>
    <row r="100" spans="1:30" s="35" customFormat="1" x14ac:dyDescent="0.25">
      <c r="R100" s="27"/>
    </row>
    <row r="101" spans="1:30" x14ac:dyDescent="0.25">
      <c r="A101" s="35"/>
      <c r="B101" s="877" t="s">
        <v>498</v>
      </c>
      <c r="C101" s="878"/>
      <c r="D101" s="878"/>
      <c r="E101" s="878"/>
      <c r="F101" s="878"/>
      <c r="G101" s="878"/>
      <c r="H101" s="878"/>
      <c r="I101" s="878"/>
      <c r="J101" s="878"/>
      <c r="K101" s="878"/>
      <c r="L101" s="878"/>
      <c r="M101" s="878"/>
      <c r="N101" s="878"/>
      <c r="O101" s="878"/>
      <c r="P101" s="878"/>
      <c r="Q101" s="35"/>
      <c r="R101" s="32" t="s">
        <v>871</v>
      </c>
      <c r="T101" s="35"/>
      <c r="U101" s="35"/>
      <c r="V101" s="35"/>
      <c r="W101" s="35"/>
    </row>
    <row r="102" spans="1:30" x14ac:dyDescent="0.25">
      <c r="A102" s="35"/>
      <c r="B102" s="845" t="s">
        <v>4</v>
      </c>
      <c r="C102" s="845"/>
      <c r="D102" s="845"/>
      <c r="E102" s="1225">
        <v>2018</v>
      </c>
      <c r="F102" s="1226"/>
      <c r="G102" s="1226"/>
      <c r="H102" s="1226"/>
      <c r="I102" s="1226"/>
      <c r="J102" s="1226"/>
      <c r="K102" s="1226"/>
      <c r="L102" s="1226"/>
      <c r="M102" s="1226"/>
      <c r="N102" s="1226"/>
      <c r="O102" s="1226"/>
      <c r="P102" s="1227"/>
      <c r="Q102" s="35"/>
      <c r="R102" s="382" t="s">
        <v>872</v>
      </c>
      <c r="S102" s="32"/>
      <c r="U102" s="35"/>
      <c r="V102" s="35"/>
      <c r="W102" s="35"/>
    </row>
    <row r="103" spans="1:30" x14ac:dyDescent="0.25">
      <c r="A103" s="35"/>
      <c r="B103" s="875"/>
      <c r="C103" s="875"/>
      <c r="D103" s="875"/>
      <c r="E103" s="875" t="s">
        <v>289</v>
      </c>
      <c r="F103" s="875"/>
      <c r="G103" s="875" t="s">
        <v>290</v>
      </c>
      <c r="H103" s="875"/>
      <c r="I103" s="875" t="s">
        <v>291</v>
      </c>
      <c r="J103" s="875"/>
      <c r="K103" s="875" t="s">
        <v>292</v>
      </c>
      <c r="L103" s="875"/>
      <c r="M103" s="875"/>
      <c r="N103" s="875" t="s">
        <v>292</v>
      </c>
      <c r="O103" s="875"/>
      <c r="P103" s="875"/>
      <c r="Q103" s="35"/>
      <c r="R103" s="52" t="s">
        <v>57</v>
      </c>
      <c r="S103" s="35"/>
      <c r="T103" s="5"/>
      <c r="U103" s="35"/>
      <c r="V103" s="35"/>
      <c r="W103" s="35"/>
    </row>
    <row r="104" spans="1:30" x14ac:dyDescent="0.25">
      <c r="A104" s="35"/>
      <c r="B104" s="777"/>
      <c r="C104" s="777"/>
      <c r="D104" s="777"/>
      <c r="E104" s="777" t="s">
        <v>293</v>
      </c>
      <c r="F104" s="777"/>
      <c r="G104" s="777" t="s">
        <v>293</v>
      </c>
      <c r="H104" s="777"/>
      <c r="I104" s="777" t="s">
        <v>293</v>
      </c>
      <c r="J104" s="777"/>
      <c r="K104" s="777" t="s">
        <v>294</v>
      </c>
      <c r="L104" s="777"/>
      <c r="M104" s="777"/>
      <c r="N104" s="777" t="s">
        <v>293</v>
      </c>
      <c r="O104" s="777"/>
      <c r="P104" s="777"/>
      <c r="Q104" s="35"/>
      <c r="R104" s="383" t="s">
        <v>873</v>
      </c>
      <c r="S104" s="35"/>
      <c r="T104" s="4"/>
      <c r="U104" s="35"/>
      <c r="V104" s="35"/>
      <c r="W104" s="35"/>
      <c r="X104" s="35"/>
      <c r="Y104" s="35"/>
      <c r="Z104" s="35"/>
      <c r="AA104" s="35"/>
      <c r="AB104" s="35"/>
      <c r="AC104" s="35"/>
      <c r="AD104" s="35"/>
    </row>
    <row r="105" spans="1:30" x14ac:dyDescent="0.25">
      <c r="A105" s="35"/>
      <c r="B105" s="845" t="s">
        <v>295</v>
      </c>
      <c r="C105" s="845"/>
      <c r="D105" s="845"/>
      <c r="E105" s="1222">
        <v>8.0100000000000005E-2</v>
      </c>
      <c r="F105" s="1222"/>
      <c r="G105" s="1222">
        <v>7.2499999999999995E-2</v>
      </c>
      <c r="H105" s="1222"/>
      <c r="I105" s="1223">
        <v>0</v>
      </c>
      <c r="J105" s="1223"/>
      <c r="K105" s="1222">
        <v>2268</v>
      </c>
      <c r="L105" s="1222"/>
      <c r="M105" s="1222"/>
      <c r="N105" s="1224">
        <f>ROUND(K105/15000,4)</f>
        <v>0.1512</v>
      </c>
      <c r="O105" s="1224"/>
      <c r="P105" s="1224"/>
      <c r="Q105" s="35"/>
      <c r="R105" s="35"/>
      <c r="S105" s="35"/>
      <c r="T105" s="35"/>
      <c r="U105" s="35"/>
      <c r="V105" s="35"/>
      <c r="W105" s="35"/>
      <c r="X105" s="35"/>
      <c r="Y105" s="35"/>
      <c r="Z105" s="35"/>
      <c r="AA105" s="35"/>
      <c r="AB105" s="35"/>
      <c r="AC105" s="35"/>
      <c r="AD105" s="35"/>
    </row>
    <row r="106" spans="1:30" x14ac:dyDescent="0.25">
      <c r="A106" s="35"/>
      <c r="B106" s="845" t="s">
        <v>296</v>
      </c>
      <c r="C106" s="845"/>
      <c r="D106" s="845"/>
      <c r="E106" s="1222">
        <v>9.1800000000000007E-2</v>
      </c>
      <c r="F106" s="1222"/>
      <c r="G106" s="1222">
        <v>8.5800000000000001E-2</v>
      </c>
      <c r="H106" s="1222"/>
      <c r="I106" s="1223">
        <v>0</v>
      </c>
      <c r="J106" s="1223"/>
      <c r="K106" s="1222">
        <v>3580</v>
      </c>
      <c r="L106" s="1222"/>
      <c r="M106" s="1222"/>
      <c r="N106" s="1224">
        <f>ROUND(K106/15000,4)</f>
        <v>0.2387</v>
      </c>
      <c r="O106" s="1224"/>
      <c r="P106" s="1224"/>
      <c r="Q106" s="35"/>
      <c r="R106" s="35"/>
      <c r="S106" s="35"/>
      <c r="T106" s="35"/>
      <c r="U106" s="35"/>
      <c r="V106" s="35"/>
      <c r="W106" s="35"/>
      <c r="X106" s="35"/>
      <c r="Y106" s="35"/>
      <c r="Z106" s="35"/>
      <c r="AA106" s="35"/>
      <c r="AB106" s="35"/>
      <c r="AC106" s="35"/>
      <c r="AD106" s="35"/>
    </row>
    <row r="107" spans="1:30" x14ac:dyDescent="0.25">
      <c r="A107" s="35"/>
      <c r="B107" s="845" t="s">
        <v>297</v>
      </c>
      <c r="C107" s="845"/>
      <c r="D107" s="845"/>
      <c r="E107" s="1222">
        <v>0.12189999999999999</v>
      </c>
      <c r="F107" s="1222"/>
      <c r="G107" s="1222">
        <v>8.7999999999999995E-2</v>
      </c>
      <c r="H107" s="1222"/>
      <c r="I107" s="1223">
        <v>0</v>
      </c>
      <c r="J107" s="1223"/>
      <c r="K107" s="1222">
        <v>3893</v>
      </c>
      <c r="L107" s="1222"/>
      <c r="M107" s="1222"/>
      <c r="N107" s="1224">
        <f>ROUND(K107/15000,4)</f>
        <v>0.25950000000000001</v>
      </c>
      <c r="O107" s="1224"/>
      <c r="P107" s="1224"/>
      <c r="Q107" s="35"/>
      <c r="R107" s="35"/>
      <c r="S107" s="35"/>
      <c r="T107" s="35"/>
      <c r="U107" s="35"/>
      <c r="V107" s="35"/>
      <c r="W107" s="35"/>
      <c r="X107" s="35"/>
      <c r="Y107" s="35"/>
      <c r="Z107" s="35"/>
      <c r="AA107" s="35"/>
      <c r="AB107" s="35"/>
      <c r="AC107" s="35"/>
      <c r="AD107" s="35"/>
    </row>
    <row r="108" spans="1:30" x14ac:dyDescent="0.25">
      <c r="A108" s="35"/>
      <c r="B108" s="845" t="s">
        <v>298</v>
      </c>
      <c r="C108" s="845"/>
      <c r="D108" s="845"/>
      <c r="E108" s="1222">
        <v>0.12429999999999999</v>
      </c>
      <c r="F108" s="1222"/>
      <c r="G108" s="1222">
        <v>8.6599999999999996E-2</v>
      </c>
      <c r="H108" s="1222"/>
      <c r="I108" s="1223">
        <v>0</v>
      </c>
      <c r="J108" s="1223"/>
      <c r="K108" s="1222">
        <v>3714</v>
      </c>
      <c r="L108" s="1222"/>
      <c r="M108" s="1222"/>
      <c r="N108" s="1224">
        <f>ROUND(K108/15000,4)</f>
        <v>0.24759999999999999</v>
      </c>
      <c r="O108" s="1224"/>
      <c r="P108" s="1224"/>
      <c r="Q108" s="35"/>
      <c r="R108" s="35"/>
      <c r="S108" s="35"/>
      <c r="T108" s="35"/>
      <c r="U108" s="35"/>
      <c r="V108" s="35"/>
      <c r="W108" s="35"/>
      <c r="X108" s="35"/>
      <c r="Y108" s="35"/>
      <c r="Z108" s="35"/>
      <c r="AA108" s="35"/>
      <c r="AB108" s="35"/>
      <c r="AC108" s="35"/>
      <c r="AD108" s="35"/>
    </row>
    <row r="109" spans="1:30" ht="15.75" thickBot="1" x14ac:dyDescent="0.3">
      <c r="A109" s="35"/>
      <c r="B109" s="1009" t="s">
        <v>299</v>
      </c>
      <c r="C109" s="1009"/>
      <c r="D109" s="1009"/>
      <c r="E109" s="1219">
        <v>0.1187</v>
      </c>
      <c r="F109" s="1219"/>
      <c r="G109" s="1219">
        <v>8.2299999999999998E-2</v>
      </c>
      <c r="H109" s="1219"/>
      <c r="I109" s="1220">
        <v>0</v>
      </c>
      <c r="J109" s="1220"/>
      <c r="K109" s="1219">
        <v>4003</v>
      </c>
      <c r="L109" s="1219"/>
      <c r="M109" s="1219"/>
      <c r="N109" s="1221">
        <f>ROUND(K109/15000,4)</f>
        <v>0.26690000000000003</v>
      </c>
      <c r="O109" s="1221"/>
      <c r="P109" s="1221"/>
      <c r="Q109" s="35"/>
      <c r="R109" s="35"/>
      <c r="S109" s="35"/>
      <c r="T109" s="35"/>
      <c r="U109" s="35"/>
      <c r="V109" s="35"/>
      <c r="W109" s="35"/>
      <c r="X109" s="35"/>
      <c r="Y109" s="35"/>
      <c r="Z109" s="35"/>
      <c r="AA109" s="35"/>
      <c r="AB109" s="35"/>
      <c r="AC109" s="35"/>
      <c r="AD109" s="35"/>
    </row>
    <row r="110" spans="1:30" x14ac:dyDescent="0.25">
      <c r="A110" s="35"/>
      <c r="B110" s="777" t="s">
        <v>300</v>
      </c>
      <c r="C110" s="777"/>
      <c r="D110" s="777"/>
      <c r="E110" s="941">
        <f>ROUND(AVERAGE(E105:F109),5)</f>
        <v>0.10736</v>
      </c>
      <c r="F110" s="941"/>
      <c r="G110" s="941">
        <f>ROUND(AVERAGE(G105:H109),5)</f>
        <v>8.3040000000000003E-2</v>
      </c>
      <c r="H110" s="941"/>
      <c r="I110" s="1217">
        <f>ROUND(AVERAGE(I105:J109),5)</f>
        <v>0</v>
      </c>
      <c r="J110" s="1217"/>
      <c r="K110" s="1005" t="s">
        <v>270</v>
      </c>
      <c r="L110" s="941"/>
      <c r="M110" s="941"/>
      <c r="N110" s="1218">
        <f>ROUND(AVERAGE(N105:P109),4)</f>
        <v>0.23280000000000001</v>
      </c>
      <c r="O110" s="1218"/>
      <c r="P110" s="1218"/>
      <c r="Q110" s="35"/>
      <c r="R110" s="35"/>
      <c r="S110" s="35"/>
      <c r="T110" s="35"/>
      <c r="U110" s="35"/>
      <c r="V110" s="35"/>
      <c r="W110" s="35"/>
      <c r="X110" s="35"/>
      <c r="Y110" s="35"/>
      <c r="Z110" s="35"/>
      <c r="AA110" s="35"/>
      <c r="AB110" s="35"/>
      <c r="AC110" s="35"/>
      <c r="AD110" s="35"/>
    </row>
    <row r="111" spans="1:30" x14ac:dyDescent="0.25">
      <c r="A111" s="35"/>
      <c r="B111" s="845" t="s">
        <v>301</v>
      </c>
      <c r="C111" s="845"/>
      <c r="D111" s="845"/>
      <c r="E111" s="876">
        <f>ROUND(E110+G110+I110+N110,2)</f>
        <v>0.42</v>
      </c>
      <c r="F111" s="876"/>
      <c r="G111" s="876"/>
      <c r="H111" s="876"/>
      <c r="I111" s="876"/>
      <c r="J111" s="876"/>
      <c r="K111" s="876"/>
      <c r="L111" s="876"/>
      <c r="M111" s="876"/>
      <c r="N111" s="876"/>
      <c r="O111" s="876"/>
      <c r="P111" s="876"/>
      <c r="Q111" s="35"/>
      <c r="R111" s="35"/>
      <c r="S111" s="35"/>
      <c r="T111" s="35"/>
      <c r="U111" s="35"/>
      <c r="V111" s="35"/>
      <c r="W111" s="35"/>
      <c r="X111" s="35"/>
      <c r="Y111" s="35"/>
      <c r="Z111" s="35"/>
      <c r="AA111" s="35"/>
      <c r="AB111" s="35"/>
      <c r="AC111" s="35"/>
      <c r="AD111" s="35"/>
    </row>
    <row r="112" spans="1:30" x14ac:dyDescent="0.25">
      <c r="A112" s="35"/>
      <c r="B112" s="27" t="s">
        <v>1263</v>
      </c>
      <c r="Q112" s="35"/>
      <c r="R112" s="35"/>
      <c r="S112" s="35"/>
      <c r="T112" s="35"/>
      <c r="U112" s="35"/>
      <c r="V112" s="35"/>
      <c r="W112" s="35"/>
      <c r="X112" s="35"/>
      <c r="Y112" s="35"/>
      <c r="Z112" s="35"/>
      <c r="AA112" s="35"/>
      <c r="AB112" s="35"/>
      <c r="AC112" s="35"/>
      <c r="AD112" s="35"/>
    </row>
    <row r="113" spans="1:30" s="35" customFormat="1" x14ac:dyDescent="0.25"/>
    <row r="114" spans="1:30" x14ac:dyDescent="0.25">
      <c r="A114" s="35"/>
      <c r="B114" s="843" t="s">
        <v>499</v>
      </c>
      <c r="C114" s="843"/>
      <c r="D114" s="843"/>
      <c r="E114" s="843"/>
      <c r="F114" s="843"/>
      <c r="G114" s="843"/>
      <c r="H114" s="35"/>
      <c r="I114" s="35"/>
      <c r="Q114" s="35"/>
      <c r="R114" s="35"/>
      <c r="S114" s="35"/>
      <c r="T114" s="35"/>
      <c r="U114" s="35"/>
      <c r="V114" s="35"/>
      <c r="W114" s="35"/>
      <c r="X114" s="35"/>
      <c r="Y114" s="35"/>
      <c r="Z114" s="35"/>
      <c r="AA114" s="35"/>
      <c r="AB114" s="35"/>
      <c r="AC114" s="35"/>
      <c r="AD114" s="35"/>
    </row>
    <row r="115" spans="1:30" x14ac:dyDescent="0.25">
      <c r="A115" s="35"/>
      <c r="B115" s="1215" t="s">
        <v>4</v>
      </c>
      <c r="C115" s="1215"/>
      <c r="D115" s="1215"/>
      <c r="E115" s="1216">
        <v>2019</v>
      </c>
      <c r="F115" s="1216"/>
      <c r="G115" s="1216"/>
      <c r="H115" s="35"/>
      <c r="I115" s="32" t="s">
        <v>874</v>
      </c>
      <c r="Q115" s="35"/>
      <c r="R115" s="35"/>
      <c r="S115" s="35"/>
      <c r="T115" s="35"/>
      <c r="U115" s="35"/>
      <c r="V115" s="35"/>
      <c r="W115" s="35"/>
      <c r="X115" s="35"/>
      <c r="Y115" s="35"/>
      <c r="Z115" s="35"/>
      <c r="AA115" s="35"/>
      <c r="AB115" s="35"/>
      <c r="AC115" s="35"/>
      <c r="AD115" s="35"/>
    </row>
    <row r="116" spans="1:30" x14ac:dyDescent="0.25">
      <c r="A116" s="35"/>
      <c r="B116" s="845" t="s">
        <v>309</v>
      </c>
      <c r="C116" s="845"/>
      <c r="D116" s="845"/>
      <c r="E116" s="845" t="s">
        <v>310</v>
      </c>
      <c r="F116" s="845"/>
      <c r="G116" s="845"/>
      <c r="H116" s="35"/>
      <c r="I116" s="218" t="s">
        <v>1197</v>
      </c>
      <c r="Q116" s="35"/>
      <c r="R116" s="35"/>
      <c r="S116" s="35"/>
      <c r="T116" s="35"/>
      <c r="U116" s="35"/>
      <c r="V116" s="35"/>
      <c r="W116" s="35"/>
      <c r="X116" s="35"/>
      <c r="Y116" s="35"/>
      <c r="Z116" s="35"/>
      <c r="AA116" s="35"/>
      <c r="AB116" s="35"/>
      <c r="AC116" s="35"/>
      <c r="AD116" s="35"/>
    </row>
    <row r="117" spans="1:30" x14ac:dyDescent="0.25">
      <c r="A117" s="35"/>
      <c r="B117" s="1214">
        <v>3</v>
      </c>
      <c r="C117" s="1214"/>
      <c r="D117" s="1214"/>
      <c r="E117" s="1214">
        <v>3.5</v>
      </c>
      <c r="F117" s="1214"/>
      <c r="G117" s="1214"/>
      <c r="H117" s="35"/>
      <c r="I117" s="383" t="s">
        <v>1198</v>
      </c>
      <c r="Q117" s="35"/>
      <c r="R117" s="35"/>
      <c r="S117" s="35"/>
      <c r="T117" s="35"/>
      <c r="U117" s="35"/>
      <c r="V117" s="35"/>
      <c r="W117" s="35"/>
      <c r="X117" s="35"/>
      <c r="Y117" s="35"/>
      <c r="Z117" s="35"/>
      <c r="AA117" s="35"/>
      <c r="AB117" s="35"/>
      <c r="AC117" s="35"/>
      <c r="AD117" s="35"/>
    </row>
    <row r="118" spans="1:30"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s="35" customFormat="1" x14ac:dyDescent="0.25"/>
    <row r="120" spans="1:30" x14ac:dyDescent="0.25">
      <c r="A120" s="35"/>
      <c r="B120" s="843" t="s">
        <v>830</v>
      </c>
      <c r="C120" s="843"/>
      <c r="D120" s="843"/>
      <c r="E120" s="843"/>
      <c r="F120" s="843"/>
      <c r="G120" s="843"/>
      <c r="H120" s="35"/>
      <c r="I120" s="32" t="s">
        <v>952</v>
      </c>
      <c r="J120" s="35"/>
      <c r="K120" s="35"/>
      <c r="L120" s="35"/>
      <c r="M120" s="35"/>
      <c r="N120" s="35"/>
      <c r="O120" s="35"/>
      <c r="P120" s="35"/>
      <c r="Q120" s="35"/>
      <c r="R120" s="35"/>
      <c r="S120" s="35"/>
      <c r="T120" s="35"/>
      <c r="U120" s="35"/>
      <c r="V120" s="35"/>
      <c r="W120" s="35"/>
      <c r="X120" s="35"/>
      <c r="Y120" s="35"/>
      <c r="Z120" s="35"/>
      <c r="AA120" s="35"/>
      <c r="AB120" s="35"/>
      <c r="AC120" s="35"/>
      <c r="AD120" s="35"/>
    </row>
    <row r="121" spans="1:30" x14ac:dyDescent="0.25">
      <c r="A121" s="35"/>
      <c r="B121" s="845" t="s">
        <v>822</v>
      </c>
      <c r="C121" s="845"/>
      <c r="D121" s="845" t="s">
        <v>831</v>
      </c>
      <c r="E121" s="845"/>
      <c r="F121" s="845"/>
      <c r="G121" s="845"/>
      <c r="H121" s="35"/>
      <c r="I121" s="382" t="s">
        <v>833</v>
      </c>
      <c r="J121" s="35"/>
      <c r="K121" s="35"/>
      <c r="L121" s="35"/>
      <c r="M121" s="35"/>
      <c r="N121" s="35"/>
      <c r="O121" s="35"/>
      <c r="P121" s="35"/>
      <c r="Q121" s="35"/>
      <c r="R121" s="35"/>
      <c r="S121" s="35"/>
      <c r="T121" s="35"/>
      <c r="U121" s="35"/>
      <c r="V121" s="35"/>
      <c r="W121" s="35"/>
      <c r="X121" s="35"/>
      <c r="Y121" s="35"/>
      <c r="Z121" s="35"/>
      <c r="AA121" s="35"/>
      <c r="AB121" s="35"/>
      <c r="AC121" s="35"/>
      <c r="AD121" s="35"/>
    </row>
    <row r="122" spans="1:30" x14ac:dyDescent="0.25">
      <c r="A122" s="35"/>
      <c r="B122" s="847">
        <v>1993</v>
      </c>
      <c r="C122" s="847"/>
      <c r="D122" s="1004">
        <v>144.5</v>
      </c>
      <c r="E122" s="1004"/>
      <c r="F122" s="1004"/>
      <c r="G122" s="1004"/>
      <c r="H122" s="35"/>
      <c r="I122" s="52" t="s">
        <v>51</v>
      </c>
      <c r="J122" s="35"/>
      <c r="K122" s="35"/>
      <c r="L122" s="35"/>
      <c r="M122" s="35"/>
      <c r="N122" s="35"/>
      <c r="O122" s="35"/>
      <c r="P122" s="35"/>
      <c r="Q122" s="35"/>
      <c r="R122" s="35"/>
      <c r="S122" s="35"/>
      <c r="T122" s="35"/>
      <c r="U122" s="35"/>
      <c r="V122" s="35"/>
      <c r="W122" s="35"/>
      <c r="X122" s="35"/>
      <c r="Y122" s="35"/>
      <c r="Z122" s="35"/>
      <c r="AA122" s="35"/>
      <c r="AB122" s="35"/>
      <c r="AC122" s="35"/>
      <c r="AD122" s="35"/>
    </row>
    <row r="123" spans="1:30" x14ac:dyDescent="0.25">
      <c r="A123" s="35"/>
      <c r="B123" s="847">
        <v>1995</v>
      </c>
      <c r="C123" s="847"/>
      <c r="D123" s="1004">
        <v>152.4</v>
      </c>
      <c r="E123" s="1004"/>
      <c r="F123" s="1004"/>
      <c r="G123" s="1004"/>
      <c r="H123" s="35"/>
      <c r="I123" s="383" t="s">
        <v>1266</v>
      </c>
      <c r="J123" s="35"/>
      <c r="K123" s="35"/>
      <c r="L123" s="35"/>
      <c r="M123" s="35"/>
      <c r="N123" s="35"/>
      <c r="O123" s="35"/>
      <c r="P123" s="35"/>
      <c r="Q123" s="35"/>
      <c r="R123" s="35"/>
      <c r="S123" s="35"/>
      <c r="T123" s="35"/>
      <c r="U123" s="35"/>
      <c r="V123" s="35"/>
      <c r="W123" s="35"/>
      <c r="X123" s="35"/>
      <c r="Y123" s="35"/>
      <c r="Z123" s="35"/>
      <c r="AA123" s="35"/>
      <c r="AB123" s="35"/>
      <c r="AC123" s="35"/>
      <c r="AD123" s="35"/>
    </row>
    <row r="124" spans="1:30" x14ac:dyDescent="0.25">
      <c r="A124" s="35"/>
      <c r="B124" s="847">
        <v>2009</v>
      </c>
      <c r="C124" s="847"/>
      <c r="D124" s="1004">
        <v>214.53700000000001</v>
      </c>
      <c r="E124" s="1004"/>
      <c r="F124" s="1004"/>
      <c r="G124" s="100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x14ac:dyDescent="0.25">
      <c r="A125" s="35"/>
      <c r="B125" s="847">
        <v>2010</v>
      </c>
      <c r="C125" s="847"/>
      <c r="D125" s="1004">
        <v>218.05600000000001</v>
      </c>
      <c r="E125" s="1004"/>
      <c r="F125" s="1004"/>
      <c r="G125" s="1004"/>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x14ac:dyDescent="0.25">
      <c r="A126" s="35"/>
      <c r="B126" s="847">
        <v>2011</v>
      </c>
      <c r="C126" s="847"/>
      <c r="D126" s="1004">
        <v>224.93899999999999</v>
      </c>
      <c r="E126" s="1004"/>
      <c r="F126" s="1004"/>
      <c r="G126" s="100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x14ac:dyDescent="0.25">
      <c r="A127" s="35"/>
      <c r="B127" s="847">
        <v>2012</v>
      </c>
      <c r="C127" s="847"/>
      <c r="D127" s="1004">
        <v>229.59399999999999</v>
      </c>
      <c r="E127" s="1004"/>
      <c r="F127" s="1004"/>
      <c r="G127" s="1004"/>
      <c r="H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x14ac:dyDescent="0.25">
      <c r="A128" s="35"/>
      <c r="B128" s="847">
        <v>2013</v>
      </c>
      <c r="C128" s="847"/>
      <c r="D128" s="1209">
        <v>230.28</v>
      </c>
      <c r="E128" s="1210"/>
      <c r="F128" s="1210"/>
      <c r="G128" s="1211"/>
      <c r="H128" s="35"/>
      <c r="I128" s="35"/>
      <c r="K128" s="35"/>
      <c r="L128" s="35"/>
      <c r="M128" s="35"/>
      <c r="N128" s="35"/>
      <c r="O128" s="35"/>
      <c r="P128" s="35"/>
      <c r="Q128" s="35"/>
      <c r="R128" s="35"/>
      <c r="S128" s="35"/>
      <c r="T128" s="35"/>
      <c r="U128" s="35"/>
      <c r="V128" s="35"/>
      <c r="W128" s="35"/>
      <c r="X128" s="35"/>
      <c r="Y128" s="35"/>
      <c r="Z128" s="35"/>
      <c r="AA128" s="35"/>
      <c r="AB128" s="35"/>
      <c r="AC128" s="35"/>
      <c r="AD128" s="35"/>
    </row>
    <row r="129" spans="1:30" x14ac:dyDescent="0.25">
      <c r="A129" s="35"/>
      <c r="B129" s="847">
        <v>2014</v>
      </c>
      <c r="C129" s="847"/>
      <c r="D129" s="1209">
        <v>233.06899999999999</v>
      </c>
      <c r="E129" s="1210"/>
      <c r="F129" s="1210"/>
      <c r="G129" s="1211"/>
      <c r="H129" s="35"/>
      <c r="I129" s="35"/>
      <c r="J129" s="3"/>
      <c r="K129" s="35"/>
      <c r="L129" s="35"/>
      <c r="M129" s="35"/>
      <c r="N129" s="35"/>
      <c r="O129" s="35"/>
      <c r="P129" s="35"/>
      <c r="Q129" s="35"/>
      <c r="R129" s="35"/>
      <c r="S129" s="35"/>
      <c r="T129" s="35"/>
      <c r="U129" s="35"/>
      <c r="V129" s="35"/>
      <c r="W129" s="35"/>
      <c r="X129" s="35"/>
      <c r="Y129" s="35"/>
      <c r="Z129" s="35"/>
      <c r="AA129" s="35"/>
      <c r="AB129" s="35"/>
      <c r="AC129" s="35"/>
      <c r="AD129" s="35"/>
    </row>
    <row r="130" spans="1:30" x14ac:dyDescent="0.25">
      <c r="A130" s="35"/>
      <c r="B130" s="847">
        <v>2015</v>
      </c>
      <c r="C130" s="847"/>
      <c r="D130" s="1209">
        <v>236.52500000000001</v>
      </c>
      <c r="E130" s="1210"/>
      <c r="F130" s="1210"/>
      <c r="G130" s="1211"/>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x14ac:dyDescent="0.25">
      <c r="A131" s="35"/>
      <c r="B131" s="847">
        <v>2016</v>
      </c>
      <c r="C131" s="847"/>
      <c r="D131" s="1209">
        <v>241.43199999999999</v>
      </c>
      <c r="E131" s="1210"/>
      <c r="F131" s="1210"/>
      <c r="G131" s="1211"/>
      <c r="H131" s="35"/>
      <c r="I131" s="35"/>
      <c r="K131" s="35"/>
      <c r="L131" s="35"/>
      <c r="M131" s="35"/>
      <c r="N131" s="35"/>
      <c r="O131" s="35"/>
      <c r="P131" s="35"/>
      <c r="Q131" s="35"/>
      <c r="R131" s="35"/>
      <c r="S131" s="35"/>
      <c r="T131" s="35"/>
      <c r="U131" s="35"/>
      <c r="V131" s="35"/>
      <c r="W131" s="35"/>
      <c r="X131" s="35"/>
      <c r="Y131" s="35"/>
      <c r="Z131" s="35"/>
      <c r="AA131" s="35"/>
      <c r="AB131" s="35"/>
      <c r="AC131" s="35"/>
      <c r="AD131" s="35"/>
    </row>
    <row r="132" spans="1:30" x14ac:dyDescent="0.25">
      <c r="A132" s="35"/>
      <c r="B132" s="847">
        <v>2017</v>
      </c>
      <c r="C132" s="847"/>
      <c r="D132" s="1209">
        <v>246.524</v>
      </c>
      <c r="E132" s="1210"/>
      <c r="F132" s="1210"/>
      <c r="G132" s="1211"/>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x14ac:dyDescent="0.25">
      <c r="A133" s="35"/>
      <c r="B133" s="847">
        <v>2018</v>
      </c>
      <c r="C133" s="847"/>
      <c r="D133" s="1209">
        <v>250.54599999999999</v>
      </c>
      <c r="E133" s="1210"/>
      <c r="F133" s="1210"/>
      <c r="G133" s="1211"/>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x14ac:dyDescent="0.25">
      <c r="A134" s="35"/>
      <c r="B134" s="847">
        <v>2019</v>
      </c>
      <c r="C134" s="847"/>
      <c r="D134" s="1209">
        <v>255.548</v>
      </c>
      <c r="E134" s="1210"/>
      <c r="F134" s="1210"/>
      <c r="G134" s="1211"/>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x14ac:dyDescent="0.25">
      <c r="A135" s="35"/>
      <c r="B135" s="847">
        <v>2020</v>
      </c>
      <c r="C135" s="847"/>
      <c r="D135" s="1209"/>
      <c r="E135" s="1210"/>
      <c r="F135" s="1210"/>
      <c r="G135" s="1211"/>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x14ac:dyDescent="0.25">
      <c r="A136" s="35"/>
      <c r="B136" s="847">
        <v>2021</v>
      </c>
      <c r="C136" s="847"/>
      <c r="D136" s="1209"/>
      <c r="E136" s="1210"/>
      <c r="F136" s="1210"/>
      <c r="G136" s="1211"/>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x14ac:dyDescent="0.25">
      <c r="A137" s="35"/>
      <c r="B137" s="847">
        <v>2022</v>
      </c>
      <c r="C137" s="847"/>
      <c r="D137" s="1209"/>
      <c r="E137" s="1210"/>
      <c r="F137" s="1210"/>
      <c r="G137" s="1211"/>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x14ac:dyDescent="0.25">
      <c r="A138" s="35"/>
      <c r="B138" s="847">
        <v>2023</v>
      </c>
      <c r="C138" s="847"/>
      <c r="D138" s="1209"/>
      <c r="E138" s="1210"/>
      <c r="F138" s="1210"/>
      <c r="G138" s="1211"/>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x14ac:dyDescent="0.25">
      <c r="A139" s="35"/>
      <c r="B139" s="847">
        <v>2024</v>
      </c>
      <c r="C139" s="847"/>
      <c r="D139" s="1209"/>
      <c r="E139" s="1210"/>
      <c r="F139" s="1210"/>
      <c r="G139" s="1211"/>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x14ac:dyDescent="0.25">
      <c r="A140" s="35"/>
      <c r="B140" s="847">
        <v>2025</v>
      </c>
      <c r="C140" s="847"/>
      <c r="D140" s="1209"/>
      <c r="E140" s="1210"/>
      <c r="F140" s="1210"/>
      <c r="G140" s="1211"/>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x14ac:dyDescent="0.25">
      <c r="A141" s="35"/>
      <c r="B141" s="847">
        <v>2026</v>
      </c>
      <c r="C141" s="847"/>
      <c r="D141" s="1209"/>
      <c r="E141" s="1210"/>
      <c r="F141" s="1210"/>
      <c r="G141" s="1211"/>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x14ac:dyDescent="0.25">
      <c r="A142" s="35"/>
      <c r="B142" s="847">
        <v>2027</v>
      </c>
      <c r="C142" s="847"/>
      <c r="D142" s="1209"/>
      <c r="E142" s="1210"/>
      <c r="F142" s="1210"/>
      <c r="G142" s="1211"/>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x14ac:dyDescent="0.25">
      <c r="A143" s="35"/>
      <c r="B143" s="847">
        <v>2028</v>
      </c>
      <c r="C143" s="847"/>
      <c r="D143" s="1209"/>
      <c r="E143" s="1210"/>
      <c r="F143" s="1210"/>
      <c r="G143" s="1211"/>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x14ac:dyDescent="0.25">
      <c r="A144" s="35"/>
      <c r="B144" s="847">
        <v>2029</v>
      </c>
      <c r="C144" s="847"/>
      <c r="D144" s="1209"/>
      <c r="E144" s="1210"/>
      <c r="F144" s="1210"/>
      <c r="G144" s="1211"/>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x14ac:dyDescent="0.25">
      <c r="A145" s="35"/>
      <c r="B145" s="847">
        <v>2030</v>
      </c>
      <c r="C145" s="847"/>
      <c r="D145" s="1209"/>
      <c r="E145" s="1210"/>
      <c r="F145" s="1210"/>
      <c r="G145" s="1211"/>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x14ac:dyDescent="0.25">
      <c r="A146" s="35"/>
      <c r="B146" s="847">
        <v>2031</v>
      </c>
      <c r="C146" s="847"/>
      <c r="D146" s="1209"/>
      <c r="E146" s="1210"/>
      <c r="F146" s="1210"/>
      <c r="G146" s="1211"/>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x14ac:dyDescent="0.25">
      <c r="A147" s="35"/>
      <c r="B147" s="847">
        <v>2032</v>
      </c>
      <c r="C147" s="847"/>
      <c r="D147" s="1209"/>
      <c r="E147" s="1210"/>
      <c r="F147" s="1210"/>
      <c r="G147" s="1211"/>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x14ac:dyDescent="0.25">
      <c r="A148" s="35"/>
      <c r="B148" s="847">
        <v>2033</v>
      </c>
      <c r="C148" s="847"/>
      <c r="D148" s="1209"/>
      <c r="E148" s="1210"/>
      <c r="F148" s="1210"/>
      <c r="G148" s="1211"/>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x14ac:dyDescent="0.25">
      <c r="A150" s="35"/>
      <c r="B150" s="843" t="s">
        <v>961</v>
      </c>
      <c r="C150" s="843"/>
      <c r="D150" s="843"/>
      <c r="E150" s="843"/>
      <c r="F150" s="843"/>
      <c r="G150" s="843"/>
      <c r="H150" s="35"/>
      <c r="I150" s="32" t="s">
        <v>962</v>
      </c>
      <c r="J150" s="35"/>
      <c r="K150" s="35"/>
      <c r="L150" s="35"/>
      <c r="M150" s="35"/>
      <c r="N150" s="35"/>
      <c r="O150" s="35"/>
      <c r="P150" s="35"/>
      <c r="Q150" s="35"/>
      <c r="R150" s="35"/>
      <c r="S150" s="35"/>
      <c r="T150" s="35"/>
      <c r="U150" s="35"/>
      <c r="V150" s="35"/>
      <c r="W150" s="35"/>
      <c r="X150" s="35"/>
      <c r="Y150" s="35"/>
      <c r="Z150" s="35"/>
      <c r="AA150" s="35"/>
      <c r="AB150" s="35"/>
      <c r="AC150" s="35"/>
      <c r="AD150" s="35"/>
    </row>
    <row r="151" spans="1:30" x14ac:dyDescent="0.25">
      <c r="A151" s="35"/>
      <c r="B151" s="845" t="s">
        <v>822</v>
      </c>
      <c r="C151" s="845"/>
      <c r="D151" s="845" t="s">
        <v>831</v>
      </c>
      <c r="E151" s="845"/>
      <c r="F151" s="845"/>
      <c r="G151" s="845"/>
      <c r="H151" s="35"/>
      <c r="I151" s="218" t="s">
        <v>964</v>
      </c>
      <c r="J151" s="35"/>
      <c r="K151" s="35"/>
      <c r="L151" s="35"/>
      <c r="M151" s="35"/>
      <c r="N151" s="35"/>
      <c r="O151" s="35"/>
      <c r="P151" s="35"/>
      <c r="Q151" s="35"/>
      <c r="R151" s="35"/>
      <c r="S151" s="35"/>
      <c r="T151" s="35"/>
      <c r="U151" s="35"/>
      <c r="V151" s="35"/>
      <c r="W151" s="35"/>
      <c r="X151" s="35"/>
      <c r="Y151" s="35"/>
      <c r="Z151" s="35"/>
      <c r="AA151" s="35"/>
      <c r="AB151" s="35"/>
      <c r="AC151" s="35"/>
      <c r="AD151" s="35"/>
    </row>
    <row r="152" spans="1:30" x14ac:dyDescent="0.25">
      <c r="A152" s="35"/>
      <c r="B152" s="847">
        <v>1993</v>
      </c>
      <c r="C152" s="847"/>
      <c r="D152" s="1004">
        <v>93.786000000000001</v>
      </c>
      <c r="E152" s="1004"/>
      <c r="F152" s="1004"/>
      <c r="G152" s="1004"/>
      <c r="H152" s="35"/>
      <c r="I152" s="52" t="s">
        <v>963</v>
      </c>
      <c r="J152" s="35"/>
      <c r="K152" s="35"/>
      <c r="L152" s="35"/>
      <c r="M152" s="35"/>
      <c r="N152" s="35"/>
      <c r="O152" s="35"/>
      <c r="P152" s="35"/>
      <c r="Q152" s="35"/>
      <c r="R152" s="35"/>
      <c r="S152" s="35"/>
      <c r="T152" s="35"/>
      <c r="U152" s="35"/>
      <c r="V152" s="35"/>
      <c r="W152" s="35"/>
      <c r="X152" s="35"/>
      <c r="Y152" s="35"/>
      <c r="Z152" s="35"/>
      <c r="AA152" s="35"/>
      <c r="AB152" s="35"/>
      <c r="AC152" s="35"/>
      <c r="AD152" s="35"/>
    </row>
    <row r="153" spans="1:30" x14ac:dyDescent="0.25">
      <c r="A153" s="35"/>
      <c r="B153" s="847">
        <v>1995</v>
      </c>
      <c r="C153" s="847"/>
      <c r="D153" s="1212" t="s">
        <v>270</v>
      </c>
      <c r="E153" s="1004"/>
      <c r="F153" s="1004"/>
      <c r="G153" s="1004"/>
      <c r="H153" s="35"/>
      <c r="I153" s="218" t="s">
        <v>965</v>
      </c>
      <c r="J153" s="35"/>
      <c r="K153" s="35"/>
      <c r="L153" s="35"/>
      <c r="M153" s="35"/>
      <c r="N153" s="35"/>
      <c r="O153" s="35"/>
      <c r="P153" s="35"/>
      <c r="Q153" s="35"/>
      <c r="R153" s="35"/>
      <c r="S153" s="35"/>
      <c r="T153" s="35"/>
      <c r="U153" s="35"/>
      <c r="V153" s="35"/>
      <c r="W153" s="35"/>
      <c r="X153" s="35"/>
      <c r="Y153" s="35"/>
      <c r="Z153" s="35"/>
      <c r="AA153" s="35"/>
      <c r="AB153" s="35"/>
      <c r="AC153" s="35"/>
      <c r="AD153" s="35"/>
    </row>
    <row r="154" spans="1:30" x14ac:dyDescent="0.25">
      <c r="A154" s="35"/>
      <c r="B154" s="847">
        <v>2009</v>
      </c>
      <c r="C154" s="847"/>
      <c r="D154" s="1212" t="s">
        <v>270</v>
      </c>
      <c r="E154" s="1004"/>
      <c r="F154" s="1004"/>
      <c r="G154" s="1004"/>
      <c r="H154" s="35"/>
      <c r="I154" s="218" t="s">
        <v>966</v>
      </c>
      <c r="J154" s="35"/>
      <c r="K154" s="35"/>
      <c r="L154" s="35"/>
      <c r="M154" s="35"/>
      <c r="N154" s="35"/>
      <c r="O154" s="35"/>
      <c r="P154" s="35"/>
      <c r="Q154" s="35"/>
      <c r="R154" s="35"/>
      <c r="S154" s="35"/>
      <c r="T154" s="35"/>
      <c r="U154" s="35"/>
      <c r="V154" s="35"/>
      <c r="W154" s="35"/>
      <c r="X154" s="35"/>
      <c r="Y154" s="35"/>
      <c r="Z154" s="35"/>
      <c r="AA154" s="35"/>
      <c r="AB154" s="35"/>
      <c r="AC154" s="35"/>
      <c r="AD154" s="35"/>
    </row>
    <row r="155" spans="1:30" x14ac:dyDescent="0.25">
      <c r="A155" s="35"/>
      <c r="B155" s="847">
        <v>2010</v>
      </c>
      <c r="C155" s="847"/>
      <c r="D155" s="1212" t="s">
        <v>270</v>
      </c>
      <c r="E155" s="1004"/>
      <c r="F155" s="1004"/>
      <c r="G155" s="1004"/>
      <c r="H155" s="35"/>
      <c r="I155" s="383" t="s">
        <v>967</v>
      </c>
      <c r="J155" s="35"/>
      <c r="K155" s="35"/>
      <c r="L155" s="35"/>
      <c r="M155" s="35"/>
      <c r="N155" s="35"/>
      <c r="O155" s="35"/>
      <c r="P155" s="35"/>
      <c r="Q155" s="35"/>
      <c r="R155" s="35"/>
      <c r="S155" s="35"/>
      <c r="T155" s="35"/>
      <c r="U155" s="35"/>
      <c r="V155" s="35"/>
      <c r="W155" s="35"/>
      <c r="X155" s="35"/>
      <c r="Y155" s="35"/>
      <c r="Z155" s="35"/>
      <c r="AA155" s="35"/>
      <c r="AB155" s="35"/>
      <c r="AC155" s="35"/>
      <c r="AD155" s="35"/>
    </row>
    <row r="156" spans="1:30" x14ac:dyDescent="0.25">
      <c r="A156" s="35"/>
      <c r="B156" s="847">
        <v>2011</v>
      </c>
      <c r="C156" s="847"/>
      <c r="D156" s="1212" t="s">
        <v>270</v>
      </c>
      <c r="E156" s="1004"/>
      <c r="F156" s="1004"/>
      <c r="G156" s="1004"/>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x14ac:dyDescent="0.25">
      <c r="A157" s="35"/>
      <c r="B157" s="847">
        <v>2012</v>
      </c>
      <c r="C157" s="847"/>
      <c r="D157" s="1212" t="s">
        <v>270</v>
      </c>
      <c r="E157" s="1004"/>
      <c r="F157" s="1004"/>
      <c r="G157" s="1004"/>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x14ac:dyDescent="0.25">
      <c r="A158" s="35"/>
      <c r="B158" s="847">
        <v>2013</v>
      </c>
      <c r="C158" s="847"/>
      <c r="D158" s="1209">
        <v>116.068</v>
      </c>
      <c r="E158" s="1210"/>
      <c r="F158" s="1210"/>
      <c r="G158" s="1211"/>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x14ac:dyDescent="0.25">
      <c r="A159" s="35"/>
      <c r="B159" s="847">
        <v>2014</v>
      </c>
      <c r="C159" s="847"/>
      <c r="D159" s="1209">
        <v>106.77800000000001</v>
      </c>
      <c r="E159" s="1210"/>
      <c r="F159" s="1210"/>
      <c r="G159" s="1211"/>
      <c r="H159" s="35"/>
      <c r="I159" s="35"/>
      <c r="J159" s="3"/>
      <c r="K159" s="35"/>
      <c r="L159" s="35"/>
      <c r="M159" s="35"/>
      <c r="N159" s="35"/>
      <c r="O159" s="35"/>
      <c r="P159" s="35"/>
      <c r="Q159" s="35"/>
      <c r="R159" s="35"/>
      <c r="S159" s="35"/>
      <c r="T159" s="35"/>
      <c r="U159" s="35"/>
      <c r="V159" s="35"/>
      <c r="W159" s="35"/>
      <c r="X159" s="35"/>
      <c r="Y159" s="35"/>
      <c r="Z159" s="35"/>
      <c r="AA159" s="35"/>
      <c r="AB159" s="35"/>
      <c r="AC159" s="35"/>
      <c r="AD159" s="35"/>
    </row>
    <row r="160" spans="1:30" x14ac:dyDescent="0.25">
      <c r="A160" s="35"/>
      <c r="B160" s="847">
        <v>2015</v>
      </c>
      <c r="C160" s="847"/>
      <c r="D160" s="1209">
        <v>110.51300000000001</v>
      </c>
      <c r="E160" s="1210"/>
      <c r="F160" s="1210"/>
      <c r="G160" s="1211"/>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x14ac:dyDescent="0.25">
      <c r="A161" s="35"/>
      <c r="B161" s="847">
        <v>2016</v>
      </c>
      <c r="C161" s="847"/>
      <c r="D161" s="1209">
        <v>112.19</v>
      </c>
      <c r="E161" s="1210"/>
      <c r="F161" s="1210"/>
      <c r="G161" s="1211"/>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x14ac:dyDescent="0.25">
      <c r="A162" s="35"/>
      <c r="B162" s="847">
        <v>2017</v>
      </c>
      <c r="C162" s="847"/>
      <c r="D162" s="1209">
        <v>108.824</v>
      </c>
      <c r="E162" s="1210"/>
      <c r="F162" s="1210"/>
      <c r="G162" s="1211"/>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x14ac:dyDescent="0.25">
      <c r="A163" s="35"/>
      <c r="B163" s="847">
        <v>2018</v>
      </c>
      <c r="C163" s="847"/>
      <c r="D163" s="1209">
        <v>111.19</v>
      </c>
      <c r="E163" s="1210"/>
      <c r="F163" s="1210"/>
      <c r="G163" s="1211"/>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x14ac:dyDescent="0.25">
      <c r="A164" s="35"/>
      <c r="B164" s="847">
        <v>2019</v>
      </c>
      <c r="C164" s="847"/>
      <c r="D164" s="1209">
        <v>111.37</v>
      </c>
      <c r="E164" s="1210"/>
      <c r="F164" s="1210"/>
      <c r="G164" s="1211"/>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x14ac:dyDescent="0.25">
      <c r="B165" s="847">
        <v>2020</v>
      </c>
      <c r="C165" s="847"/>
      <c r="D165" s="1209"/>
      <c r="E165" s="1210"/>
      <c r="F165" s="1210"/>
      <c r="G165" s="1211"/>
      <c r="H165" s="35"/>
      <c r="I165" s="35"/>
      <c r="J165" s="35"/>
      <c r="K165" s="35"/>
      <c r="L165" s="35"/>
      <c r="M165" s="35"/>
      <c r="N165" s="35"/>
    </row>
    <row r="166" spans="1:30" x14ac:dyDescent="0.25">
      <c r="B166" s="847">
        <v>2021</v>
      </c>
      <c r="C166" s="847"/>
      <c r="D166" s="1209"/>
      <c r="E166" s="1210"/>
      <c r="F166" s="1210"/>
      <c r="G166" s="1211"/>
      <c r="H166" s="35"/>
      <c r="I166" s="35"/>
      <c r="J166" s="35"/>
      <c r="K166" s="35"/>
      <c r="L166" s="35"/>
      <c r="M166" s="35"/>
      <c r="N166" s="35"/>
    </row>
    <row r="167" spans="1:30" x14ac:dyDescent="0.25">
      <c r="B167" s="847">
        <v>2022</v>
      </c>
      <c r="C167" s="847"/>
      <c r="D167" s="1209"/>
      <c r="E167" s="1210"/>
      <c r="F167" s="1210"/>
      <c r="G167" s="1211"/>
      <c r="H167" s="35"/>
      <c r="I167" s="35"/>
      <c r="J167" s="35"/>
      <c r="K167" s="35"/>
      <c r="L167" s="35"/>
      <c r="M167" s="35"/>
      <c r="N167" s="35"/>
    </row>
    <row r="168" spans="1:30" x14ac:dyDescent="0.25">
      <c r="B168" s="847">
        <v>2023</v>
      </c>
      <c r="C168" s="847"/>
      <c r="D168" s="1209"/>
      <c r="E168" s="1210"/>
      <c r="F168" s="1210"/>
      <c r="G168" s="1211"/>
      <c r="H168" s="35"/>
      <c r="I168" s="35"/>
      <c r="J168" s="35"/>
      <c r="K168" s="35"/>
      <c r="L168" s="35"/>
      <c r="M168" s="35"/>
      <c r="N168" s="35"/>
    </row>
    <row r="169" spans="1:30" x14ac:dyDescent="0.25">
      <c r="B169" s="847">
        <v>2024</v>
      </c>
      <c r="C169" s="847"/>
      <c r="D169" s="1209"/>
      <c r="E169" s="1210"/>
      <c r="F169" s="1210"/>
      <c r="G169" s="1211"/>
      <c r="H169" s="35"/>
      <c r="I169" s="35"/>
      <c r="J169" s="35"/>
      <c r="K169" s="35"/>
      <c r="L169" s="35"/>
      <c r="M169" s="35"/>
      <c r="N169" s="35"/>
    </row>
    <row r="170" spans="1:30" x14ac:dyDescent="0.25">
      <c r="B170" s="847">
        <v>2025</v>
      </c>
      <c r="C170" s="847"/>
      <c r="D170" s="1209"/>
      <c r="E170" s="1210"/>
      <c r="F170" s="1210"/>
      <c r="G170" s="1211"/>
      <c r="H170" s="35"/>
      <c r="I170" s="35"/>
      <c r="J170" s="35"/>
      <c r="K170" s="35"/>
      <c r="L170" s="35"/>
      <c r="M170" s="35"/>
      <c r="N170" s="35"/>
    </row>
    <row r="171" spans="1:30" x14ac:dyDescent="0.25">
      <c r="B171" s="847">
        <v>2026</v>
      </c>
      <c r="C171" s="847"/>
      <c r="D171" s="1209"/>
      <c r="E171" s="1210"/>
      <c r="F171" s="1210"/>
      <c r="G171" s="1211"/>
      <c r="H171" s="35"/>
      <c r="I171" s="35"/>
      <c r="J171" s="35"/>
      <c r="K171" s="35"/>
      <c r="L171" s="35"/>
      <c r="M171" s="35"/>
      <c r="N171" s="35"/>
    </row>
    <row r="172" spans="1:30" x14ac:dyDescent="0.25">
      <c r="B172" s="847">
        <v>2027</v>
      </c>
      <c r="C172" s="847"/>
      <c r="D172" s="1209"/>
      <c r="E172" s="1210"/>
      <c r="F172" s="1210"/>
      <c r="G172" s="1211"/>
      <c r="H172" s="35"/>
      <c r="I172" s="35"/>
      <c r="J172" s="35"/>
      <c r="K172" s="35"/>
      <c r="L172" s="35"/>
      <c r="M172" s="35"/>
      <c r="N172" s="35"/>
    </row>
    <row r="173" spans="1:30" x14ac:dyDescent="0.25">
      <c r="B173" s="847">
        <v>2028</v>
      </c>
      <c r="C173" s="847"/>
      <c r="D173" s="1209"/>
      <c r="E173" s="1210"/>
      <c r="F173" s="1210"/>
      <c r="G173" s="1211"/>
      <c r="H173" s="35"/>
      <c r="I173" s="35"/>
      <c r="J173" s="35"/>
      <c r="K173" s="35"/>
      <c r="L173" s="35"/>
      <c r="M173" s="35"/>
      <c r="N173" s="35"/>
    </row>
    <row r="174" spans="1:30" x14ac:dyDescent="0.25">
      <c r="B174" s="847">
        <v>2029</v>
      </c>
      <c r="C174" s="847"/>
      <c r="D174" s="1209"/>
      <c r="E174" s="1210"/>
      <c r="F174" s="1210"/>
      <c r="G174" s="1211"/>
      <c r="H174" s="35"/>
      <c r="I174" s="35"/>
      <c r="J174" s="35"/>
      <c r="K174" s="35"/>
      <c r="L174" s="35"/>
      <c r="M174" s="35"/>
      <c r="N174" s="35"/>
    </row>
    <row r="175" spans="1:30" x14ac:dyDescent="0.25">
      <c r="B175" s="847">
        <v>2030</v>
      </c>
      <c r="C175" s="847"/>
      <c r="D175" s="1209"/>
      <c r="E175" s="1210"/>
      <c r="F175" s="1210"/>
      <c r="G175" s="1211"/>
      <c r="H175" s="35"/>
      <c r="I175" s="35"/>
      <c r="J175" s="35"/>
      <c r="K175" s="35"/>
      <c r="L175" s="35"/>
      <c r="M175" s="35"/>
      <c r="N175" s="35"/>
    </row>
    <row r="176" spans="1:30" x14ac:dyDescent="0.25">
      <c r="B176" s="847">
        <v>2031</v>
      </c>
      <c r="C176" s="847"/>
      <c r="D176" s="1209"/>
      <c r="E176" s="1210"/>
      <c r="F176" s="1210"/>
      <c r="G176" s="1211"/>
      <c r="H176" s="35"/>
      <c r="I176" s="35"/>
      <c r="J176" s="35"/>
      <c r="K176" s="35"/>
      <c r="L176" s="35"/>
      <c r="M176" s="35"/>
      <c r="N176" s="35"/>
    </row>
    <row r="177" spans="2:19" x14ac:dyDescent="0.25">
      <c r="B177" s="847">
        <v>2032</v>
      </c>
      <c r="C177" s="847"/>
      <c r="D177" s="1209"/>
      <c r="E177" s="1210"/>
      <c r="F177" s="1210"/>
      <c r="G177" s="1211"/>
      <c r="H177" s="35"/>
      <c r="I177" s="35"/>
      <c r="J177" s="35"/>
      <c r="K177" s="35"/>
      <c r="L177" s="35"/>
      <c r="M177" s="35"/>
      <c r="N177" s="35"/>
    </row>
    <row r="178" spans="2:19" x14ac:dyDescent="0.25">
      <c r="B178" s="847">
        <v>2033</v>
      </c>
      <c r="C178" s="847"/>
      <c r="D178" s="1209"/>
      <c r="E178" s="1210"/>
      <c r="F178" s="1210"/>
      <c r="G178" s="1211"/>
      <c r="H178" s="35"/>
      <c r="I178" s="35"/>
      <c r="J178" s="35"/>
      <c r="K178" s="35"/>
      <c r="L178" s="35"/>
      <c r="M178" s="35"/>
      <c r="N178" s="35"/>
    </row>
    <row r="181" spans="2:19" x14ac:dyDescent="0.25">
      <c r="B181" s="843" t="s">
        <v>972</v>
      </c>
      <c r="C181" s="843"/>
      <c r="D181" s="843"/>
      <c r="E181" s="843"/>
      <c r="F181" s="843"/>
      <c r="G181" s="843"/>
      <c r="H181" s="843"/>
      <c r="I181" s="843"/>
      <c r="J181" s="843"/>
      <c r="K181" s="843"/>
      <c r="L181" s="843"/>
      <c r="M181" s="843"/>
      <c r="N181" s="843"/>
      <c r="O181" s="843"/>
      <c r="P181" s="843"/>
      <c r="Q181" s="843"/>
      <c r="S181" s="32" t="s">
        <v>980</v>
      </c>
    </row>
    <row r="182" spans="2:19" x14ac:dyDescent="0.25">
      <c r="B182" s="845" t="s">
        <v>822</v>
      </c>
      <c r="C182" s="845"/>
      <c r="D182" s="846" t="s">
        <v>973</v>
      </c>
      <c r="E182" s="846"/>
      <c r="F182" s="846" t="s">
        <v>974</v>
      </c>
      <c r="G182" s="846"/>
      <c r="H182" s="846" t="s">
        <v>279</v>
      </c>
      <c r="I182" s="846"/>
      <c r="J182" s="846" t="s">
        <v>280</v>
      </c>
      <c r="K182" s="846"/>
      <c r="L182" s="846" t="s">
        <v>975</v>
      </c>
      <c r="M182" s="846"/>
      <c r="N182" s="846" t="s">
        <v>976</v>
      </c>
      <c r="O182" s="846"/>
      <c r="P182" s="846" t="s">
        <v>977</v>
      </c>
      <c r="Q182" s="846"/>
      <c r="S182" s="218" t="s">
        <v>981</v>
      </c>
    </row>
    <row r="183" spans="2:19" x14ac:dyDescent="0.25">
      <c r="B183" s="847">
        <v>1993</v>
      </c>
      <c r="C183" s="847"/>
      <c r="D183" s="1208" t="s">
        <v>270</v>
      </c>
      <c r="E183" s="844"/>
      <c r="F183" s="1208" t="s">
        <v>270</v>
      </c>
      <c r="G183" s="844"/>
      <c r="H183" s="1208" t="s">
        <v>270</v>
      </c>
      <c r="I183" s="844"/>
      <c r="J183" s="1208" t="s">
        <v>270</v>
      </c>
      <c r="K183" s="844"/>
      <c r="L183" s="1208" t="s">
        <v>270</v>
      </c>
      <c r="M183" s="844"/>
      <c r="N183" s="1208" t="s">
        <v>270</v>
      </c>
      <c r="O183" s="844"/>
      <c r="P183" s="1208" t="s">
        <v>270</v>
      </c>
      <c r="Q183" s="844"/>
      <c r="S183" s="52" t="s">
        <v>51</v>
      </c>
    </row>
    <row r="184" spans="2:19" x14ac:dyDescent="0.25">
      <c r="B184" s="847">
        <v>1995</v>
      </c>
      <c r="C184" s="847"/>
      <c r="D184" s="844">
        <v>134.1</v>
      </c>
      <c r="E184" s="844"/>
      <c r="F184" s="844">
        <v>159</v>
      </c>
      <c r="G184" s="844"/>
      <c r="H184" s="844">
        <v>144.1</v>
      </c>
      <c r="I184" s="844"/>
      <c r="J184" s="844">
        <v>144.1</v>
      </c>
      <c r="K184" s="844"/>
      <c r="L184" s="844">
        <v>124.5</v>
      </c>
      <c r="M184" s="844"/>
      <c r="N184" s="844">
        <v>124.5</v>
      </c>
      <c r="O184" s="844"/>
      <c r="P184" s="844">
        <v>124.5</v>
      </c>
      <c r="Q184" s="844"/>
      <c r="S184" s="218" t="s">
        <v>985</v>
      </c>
    </row>
    <row r="185" spans="2:19" x14ac:dyDescent="0.25">
      <c r="B185" s="847">
        <v>2009</v>
      </c>
      <c r="C185" s="847"/>
      <c r="D185" s="1208" t="s">
        <v>270</v>
      </c>
      <c r="E185" s="844"/>
      <c r="F185" s="1208" t="s">
        <v>270</v>
      </c>
      <c r="G185" s="844"/>
      <c r="H185" s="1208" t="s">
        <v>270</v>
      </c>
      <c r="I185" s="844"/>
      <c r="J185" s="1208" t="s">
        <v>270</v>
      </c>
      <c r="K185" s="844"/>
      <c r="L185" s="1208" t="s">
        <v>270</v>
      </c>
      <c r="M185" s="844"/>
      <c r="N185" s="1208" t="s">
        <v>270</v>
      </c>
      <c r="O185" s="844"/>
      <c r="P185" s="1208" t="s">
        <v>270</v>
      </c>
      <c r="Q185" s="844"/>
      <c r="S185" s="383" t="s">
        <v>984</v>
      </c>
    </row>
    <row r="186" spans="2:19" x14ac:dyDescent="0.25">
      <c r="B186" s="847">
        <v>2010</v>
      </c>
      <c r="C186" s="847"/>
      <c r="D186" s="1208" t="s">
        <v>270</v>
      </c>
      <c r="E186" s="844"/>
      <c r="F186" s="1208" t="s">
        <v>270</v>
      </c>
      <c r="G186" s="844"/>
      <c r="H186" s="1208" t="s">
        <v>270</v>
      </c>
      <c r="I186" s="844"/>
      <c r="J186" s="1208" t="s">
        <v>270</v>
      </c>
      <c r="K186" s="844"/>
      <c r="L186" s="1208" t="s">
        <v>270</v>
      </c>
      <c r="M186" s="844"/>
      <c r="N186" s="1208" t="s">
        <v>270</v>
      </c>
      <c r="O186" s="844"/>
      <c r="P186" s="1208" t="s">
        <v>270</v>
      </c>
      <c r="Q186" s="844"/>
      <c r="S186" s="35"/>
    </row>
    <row r="187" spans="2:19" x14ac:dyDescent="0.25">
      <c r="B187" s="847">
        <v>2011</v>
      </c>
      <c r="C187" s="847"/>
      <c r="D187" s="1208" t="s">
        <v>270</v>
      </c>
      <c r="E187" s="844"/>
      <c r="F187" s="1208" t="s">
        <v>270</v>
      </c>
      <c r="G187" s="844"/>
      <c r="H187" s="1208" t="s">
        <v>270</v>
      </c>
      <c r="I187" s="844"/>
      <c r="J187" s="1208" t="s">
        <v>270</v>
      </c>
      <c r="K187" s="844"/>
      <c r="L187" s="1208" t="s">
        <v>270</v>
      </c>
      <c r="M187" s="844"/>
      <c r="N187" s="1208" t="s">
        <v>270</v>
      </c>
      <c r="O187" s="844"/>
      <c r="P187" s="1208" t="s">
        <v>270</v>
      </c>
      <c r="Q187" s="844"/>
    </row>
    <row r="188" spans="2:19" x14ac:dyDescent="0.25">
      <c r="B188" s="847">
        <v>2012</v>
      </c>
      <c r="C188" s="847"/>
      <c r="D188" s="1208" t="s">
        <v>270</v>
      </c>
      <c r="E188" s="844"/>
      <c r="F188" s="1208" t="s">
        <v>270</v>
      </c>
      <c r="G188" s="844"/>
      <c r="H188" s="1208" t="s">
        <v>270</v>
      </c>
      <c r="I188" s="844"/>
      <c r="J188" s="1208" t="s">
        <v>270</v>
      </c>
      <c r="K188" s="844"/>
      <c r="L188" s="1208" t="s">
        <v>270</v>
      </c>
      <c r="M188" s="844"/>
      <c r="N188" s="1208" t="s">
        <v>270</v>
      </c>
      <c r="O188" s="844"/>
      <c r="P188" s="1208" t="s">
        <v>270</v>
      </c>
      <c r="Q188" s="844"/>
    </row>
    <row r="189" spans="2:19" x14ac:dyDescent="0.25">
      <c r="B189" s="847">
        <v>2013</v>
      </c>
      <c r="C189" s="847"/>
      <c r="D189" s="1207">
        <v>131.19999999999999</v>
      </c>
      <c r="E189" s="1207"/>
      <c r="F189" s="1207">
        <v>163.80000000000001</v>
      </c>
      <c r="G189" s="1207"/>
      <c r="H189" s="1207">
        <v>208.2</v>
      </c>
      <c r="I189" s="1207"/>
      <c r="J189" s="1207">
        <v>208.2</v>
      </c>
      <c r="K189" s="1207"/>
      <c r="L189" s="1207">
        <v>188.5</v>
      </c>
      <c r="M189" s="1207"/>
      <c r="N189" s="1207">
        <v>188.5</v>
      </c>
      <c r="O189" s="1207"/>
      <c r="P189" s="1207">
        <v>188.5</v>
      </c>
      <c r="Q189" s="1207"/>
    </row>
    <row r="190" spans="2:19" x14ac:dyDescent="0.25">
      <c r="B190" s="847">
        <v>2014</v>
      </c>
      <c r="C190" s="847"/>
      <c r="D190" s="1207">
        <v>131.4</v>
      </c>
      <c r="E190" s="1207"/>
      <c r="F190" s="1207">
        <v>131.4</v>
      </c>
      <c r="G190" s="1207"/>
      <c r="H190" s="1207">
        <v>167.4</v>
      </c>
      <c r="I190" s="1207"/>
      <c r="J190" s="1207">
        <v>167.4</v>
      </c>
      <c r="K190" s="1207"/>
      <c r="L190" s="1207">
        <v>211.2</v>
      </c>
      <c r="M190" s="1207"/>
      <c r="N190" s="1207">
        <v>211.2</v>
      </c>
      <c r="O190" s="1207"/>
      <c r="P190" s="1207">
        <v>211.2</v>
      </c>
      <c r="Q190" s="1207"/>
    </row>
    <row r="191" spans="2:19" x14ac:dyDescent="0.25">
      <c r="B191" s="847">
        <v>2015</v>
      </c>
      <c r="C191" s="847"/>
      <c r="D191" s="1207">
        <v>135.6</v>
      </c>
      <c r="E191" s="1207"/>
      <c r="F191" s="1207">
        <v>135.6</v>
      </c>
      <c r="G191" s="1207"/>
      <c r="H191" s="1207">
        <v>172.7</v>
      </c>
      <c r="I191" s="1207"/>
      <c r="J191" s="1207">
        <v>172.7</v>
      </c>
      <c r="K191" s="1207"/>
      <c r="L191" s="1207">
        <v>172.7</v>
      </c>
      <c r="M191" s="1207"/>
      <c r="N191" s="1207">
        <v>220</v>
      </c>
      <c r="O191" s="1207"/>
      <c r="P191" s="1207">
        <v>220</v>
      </c>
      <c r="Q191" s="1207"/>
    </row>
    <row r="192" spans="2:19" x14ac:dyDescent="0.25">
      <c r="B192" s="847">
        <v>2016</v>
      </c>
      <c r="C192" s="847"/>
      <c r="D192" s="1207">
        <v>135.5</v>
      </c>
      <c r="E192" s="1207"/>
      <c r="F192" s="1207">
        <v>135.5</v>
      </c>
      <c r="G192" s="1207"/>
      <c r="H192" s="1207">
        <v>177.6</v>
      </c>
      <c r="I192" s="1207"/>
      <c r="J192" s="1207">
        <v>177.6</v>
      </c>
      <c r="K192" s="1207"/>
      <c r="L192" s="1207">
        <v>177.6</v>
      </c>
      <c r="M192" s="1207"/>
      <c r="N192" s="1207">
        <v>224.5</v>
      </c>
      <c r="O192" s="1207"/>
      <c r="P192" s="1207">
        <v>224.5</v>
      </c>
      <c r="Q192" s="1207"/>
    </row>
    <row r="193" spans="2:17" x14ac:dyDescent="0.25">
      <c r="B193" s="847">
        <v>2017</v>
      </c>
      <c r="C193" s="847"/>
      <c r="D193" s="1207">
        <v>134.9</v>
      </c>
      <c r="E193" s="1207"/>
      <c r="F193" s="1207">
        <v>134.9</v>
      </c>
      <c r="G193" s="1207"/>
      <c r="H193" s="1207">
        <v>179.3</v>
      </c>
      <c r="I193" s="1207"/>
      <c r="J193" s="1207">
        <v>179.3</v>
      </c>
      <c r="K193" s="1207"/>
      <c r="L193" s="1207">
        <v>228.7</v>
      </c>
      <c r="M193" s="1207"/>
      <c r="N193" s="1207">
        <v>228.7</v>
      </c>
      <c r="O193" s="1207"/>
      <c r="P193" s="1207">
        <v>228.7</v>
      </c>
      <c r="Q193" s="1207"/>
    </row>
    <row r="194" spans="2:17" x14ac:dyDescent="0.25">
      <c r="B194" s="847">
        <v>2018</v>
      </c>
      <c r="C194" s="847"/>
      <c r="D194" s="1207">
        <v>134.9</v>
      </c>
      <c r="E194" s="1207"/>
      <c r="F194" s="1207">
        <v>134.9</v>
      </c>
      <c r="G194" s="1207"/>
      <c r="H194" s="1207">
        <v>180.7</v>
      </c>
      <c r="I194" s="1207"/>
      <c r="J194" s="1207">
        <v>180.7</v>
      </c>
      <c r="K194" s="1207"/>
      <c r="L194" s="1207">
        <v>231.5</v>
      </c>
      <c r="M194" s="1207"/>
      <c r="N194" s="1207">
        <v>231.5</v>
      </c>
      <c r="O194" s="1207"/>
      <c r="P194" s="1207">
        <v>231.5</v>
      </c>
      <c r="Q194" s="1207"/>
    </row>
    <row r="195" spans="2:17" x14ac:dyDescent="0.25">
      <c r="B195" s="847">
        <v>2019</v>
      </c>
      <c r="C195" s="847"/>
      <c r="D195" s="1207">
        <v>135.1</v>
      </c>
      <c r="E195" s="1207"/>
      <c r="F195" s="1207">
        <v>135.1</v>
      </c>
      <c r="G195" s="1207"/>
      <c r="H195" s="1207">
        <v>177.2</v>
      </c>
      <c r="I195" s="1207"/>
      <c r="J195" s="1207">
        <v>177.2</v>
      </c>
      <c r="K195" s="1207"/>
      <c r="L195" s="1207">
        <v>231.9</v>
      </c>
      <c r="M195" s="1207"/>
      <c r="N195" s="1207">
        <v>231.9</v>
      </c>
      <c r="O195" s="1207"/>
      <c r="P195" s="1207">
        <v>231.9</v>
      </c>
      <c r="Q195" s="1207"/>
    </row>
    <row r="196" spans="2:17" x14ac:dyDescent="0.25">
      <c r="B196" s="847">
        <v>2020</v>
      </c>
      <c r="C196" s="847"/>
      <c r="D196" s="1207"/>
      <c r="E196" s="1207"/>
      <c r="F196" s="1207"/>
      <c r="G196" s="1207"/>
      <c r="H196" s="1207"/>
      <c r="I196" s="1207"/>
      <c r="J196" s="1207"/>
      <c r="K196" s="1207"/>
      <c r="L196" s="1207"/>
      <c r="M196" s="1207"/>
      <c r="N196" s="1207"/>
      <c r="O196" s="1207"/>
      <c r="P196" s="1207"/>
      <c r="Q196" s="1207"/>
    </row>
    <row r="197" spans="2:17" x14ac:dyDescent="0.25">
      <c r="B197" s="847">
        <v>2021</v>
      </c>
      <c r="C197" s="847"/>
      <c r="D197" s="1207"/>
      <c r="E197" s="1207"/>
      <c r="F197" s="1207"/>
      <c r="G197" s="1207"/>
      <c r="H197" s="1207"/>
      <c r="I197" s="1207"/>
      <c r="J197" s="1207"/>
      <c r="K197" s="1207"/>
      <c r="L197" s="1207"/>
      <c r="M197" s="1207"/>
      <c r="N197" s="1207"/>
      <c r="O197" s="1207"/>
      <c r="P197" s="1207"/>
      <c r="Q197" s="1207"/>
    </row>
    <row r="198" spans="2:17" x14ac:dyDescent="0.25">
      <c r="B198" s="847">
        <v>2022</v>
      </c>
      <c r="C198" s="847"/>
      <c r="D198" s="1207"/>
      <c r="E198" s="1207"/>
      <c r="F198" s="1207"/>
      <c r="G198" s="1207"/>
      <c r="H198" s="1207"/>
      <c r="I198" s="1207"/>
      <c r="J198" s="1207"/>
      <c r="K198" s="1207"/>
      <c r="L198" s="1207"/>
      <c r="M198" s="1207"/>
      <c r="N198" s="1207"/>
      <c r="O198" s="1207"/>
      <c r="P198" s="1207"/>
      <c r="Q198" s="1207"/>
    </row>
    <row r="199" spans="2:17" x14ac:dyDescent="0.25">
      <c r="B199" s="847">
        <v>2023</v>
      </c>
      <c r="C199" s="847"/>
      <c r="D199" s="1207"/>
      <c r="E199" s="1207"/>
      <c r="F199" s="1207"/>
      <c r="G199" s="1207"/>
      <c r="H199" s="1207"/>
      <c r="I199" s="1207"/>
      <c r="J199" s="1207"/>
      <c r="K199" s="1207"/>
      <c r="L199" s="1207"/>
      <c r="M199" s="1207"/>
      <c r="N199" s="1207"/>
      <c r="O199" s="1207"/>
      <c r="P199" s="1207"/>
      <c r="Q199" s="1207"/>
    </row>
    <row r="200" spans="2:17" x14ac:dyDescent="0.25">
      <c r="B200" s="847">
        <v>2024</v>
      </c>
      <c r="C200" s="847"/>
      <c r="D200" s="1207"/>
      <c r="E200" s="1207"/>
      <c r="F200" s="1207"/>
      <c r="G200" s="1207"/>
      <c r="H200" s="1207"/>
      <c r="I200" s="1207"/>
      <c r="J200" s="1207"/>
      <c r="K200" s="1207"/>
      <c r="L200" s="1207"/>
      <c r="M200" s="1207"/>
      <c r="N200" s="1207"/>
      <c r="O200" s="1207"/>
      <c r="P200" s="1207"/>
      <c r="Q200" s="1207"/>
    </row>
    <row r="201" spans="2:17" x14ac:dyDescent="0.25">
      <c r="B201" s="847">
        <v>2025</v>
      </c>
      <c r="C201" s="847"/>
      <c r="D201" s="1207"/>
      <c r="E201" s="1207"/>
      <c r="F201" s="1207"/>
      <c r="G201" s="1207"/>
      <c r="H201" s="1207"/>
      <c r="I201" s="1207"/>
      <c r="J201" s="1207"/>
      <c r="K201" s="1207"/>
      <c r="L201" s="1207"/>
      <c r="M201" s="1207"/>
      <c r="N201" s="1207"/>
      <c r="O201" s="1207"/>
      <c r="P201" s="1207"/>
      <c r="Q201" s="1207"/>
    </row>
    <row r="202" spans="2:17" x14ac:dyDescent="0.25">
      <c r="B202" s="847">
        <v>2026</v>
      </c>
      <c r="C202" s="847"/>
      <c r="D202" s="1207"/>
      <c r="E202" s="1207"/>
      <c r="F202" s="1207"/>
      <c r="G202" s="1207"/>
      <c r="H202" s="1207"/>
      <c r="I202" s="1207"/>
      <c r="J202" s="1207"/>
      <c r="K202" s="1207"/>
      <c r="L202" s="1207"/>
      <c r="M202" s="1207"/>
      <c r="N202" s="1207"/>
      <c r="O202" s="1207"/>
      <c r="P202" s="1207"/>
      <c r="Q202" s="1207"/>
    </row>
    <row r="203" spans="2:17" x14ac:dyDescent="0.25">
      <c r="B203" s="847">
        <v>2027</v>
      </c>
      <c r="C203" s="847"/>
      <c r="D203" s="1207"/>
      <c r="E203" s="1207"/>
      <c r="F203" s="1207"/>
      <c r="G203" s="1207"/>
      <c r="H203" s="1207"/>
      <c r="I203" s="1207"/>
      <c r="J203" s="1207"/>
      <c r="K203" s="1207"/>
      <c r="L203" s="1207"/>
      <c r="M203" s="1207"/>
      <c r="N203" s="1207"/>
      <c r="O203" s="1207"/>
      <c r="P203" s="1207"/>
      <c r="Q203" s="1207"/>
    </row>
    <row r="204" spans="2:17" x14ac:dyDescent="0.25">
      <c r="B204" s="847">
        <v>2028</v>
      </c>
      <c r="C204" s="847"/>
      <c r="D204" s="1207"/>
      <c r="E204" s="1207"/>
      <c r="F204" s="1207"/>
      <c r="G204" s="1207"/>
      <c r="H204" s="1207"/>
      <c r="I204" s="1207"/>
      <c r="J204" s="1207"/>
      <c r="K204" s="1207"/>
      <c r="L204" s="1207"/>
      <c r="M204" s="1207"/>
      <c r="N204" s="1207"/>
      <c r="O204" s="1207"/>
      <c r="P204" s="1207"/>
      <c r="Q204" s="1207"/>
    </row>
    <row r="205" spans="2:17" x14ac:dyDescent="0.25">
      <c r="B205" s="847">
        <v>2029</v>
      </c>
      <c r="C205" s="847"/>
      <c r="D205" s="1207"/>
      <c r="E205" s="1207"/>
      <c r="F205" s="1207"/>
      <c r="G205" s="1207"/>
      <c r="H205" s="1207"/>
      <c r="I205" s="1207"/>
      <c r="J205" s="1207"/>
      <c r="K205" s="1207"/>
      <c r="L205" s="1207"/>
      <c r="M205" s="1207"/>
      <c r="N205" s="1207"/>
      <c r="O205" s="1207"/>
      <c r="P205" s="1207"/>
      <c r="Q205" s="1207"/>
    </row>
    <row r="206" spans="2:17" x14ac:dyDescent="0.25">
      <c r="B206" s="847">
        <v>2030</v>
      </c>
      <c r="C206" s="847"/>
      <c r="D206" s="1207"/>
      <c r="E206" s="1207"/>
      <c r="F206" s="1207"/>
      <c r="G206" s="1207"/>
      <c r="H206" s="1207"/>
      <c r="I206" s="1207"/>
      <c r="J206" s="1207"/>
      <c r="K206" s="1207"/>
      <c r="L206" s="1207"/>
      <c r="M206" s="1207"/>
      <c r="N206" s="1207"/>
      <c r="O206" s="1207"/>
      <c r="P206" s="1207"/>
      <c r="Q206" s="1207"/>
    </row>
    <row r="207" spans="2:17" x14ac:dyDescent="0.25">
      <c r="B207" s="847">
        <v>2031</v>
      </c>
      <c r="C207" s="847"/>
      <c r="D207" s="1207"/>
      <c r="E207" s="1207"/>
      <c r="F207" s="1207"/>
      <c r="G207" s="1207"/>
      <c r="H207" s="1207"/>
      <c r="I207" s="1207"/>
      <c r="J207" s="1207"/>
      <c r="K207" s="1207"/>
      <c r="L207" s="1207"/>
      <c r="M207" s="1207"/>
      <c r="N207" s="1207"/>
      <c r="O207" s="1207"/>
      <c r="P207" s="1207"/>
      <c r="Q207" s="1207"/>
    </row>
    <row r="208" spans="2:17" x14ac:dyDescent="0.25">
      <c r="B208" s="847">
        <v>2032</v>
      </c>
      <c r="C208" s="847"/>
      <c r="D208" s="1207"/>
      <c r="E208" s="1207"/>
      <c r="F208" s="1207"/>
      <c r="G208" s="1207"/>
      <c r="H208" s="1207"/>
      <c r="I208" s="1207"/>
      <c r="J208" s="1207"/>
      <c r="K208" s="1207"/>
      <c r="L208" s="1207"/>
      <c r="M208" s="1207"/>
      <c r="N208" s="1207"/>
      <c r="O208" s="1207"/>
      <c r="P208" s="1207"/>
      <c r="Q208" s="1207"/>
    </row>
    <row r="209" spans="2:17" x14ac:dyDescent="0.25">
      <c r="B209" s="847">
        <v>2033</v>
      </c>
      <c r="C209" s="847"/>
      <c r="D209" s="1207"/>
      <c r="E209" s="1207"/>
      <c r="F209" s="1207"/>
      <c r="G209" s="1207"/>
      <c r="H209" s="1207"/>
      <c r="I209" s="1207"/>
      <c r="J209" s="1207"/>
      <c r="K209" s="1207"/>
      <c r="L209" s="1207"/>
      <c r="M209" s="1207"/>
      <c r="N209" s="1207"/>
      <c r="O209" s="1207"/>
      <c r="P209" s="1207"/>
      <c r="Q209" s="1207"/>
    </row>
    <row r="210" spans="2:17" x14ac:dyDescent="0.25">
      <c r="B210" s="845" t="s">
        <v>1271</v>
      </c>
      <c r="C210" s="845"/>
      <c r="D210" s="845" t="s">
        <v>1268</v>
      </c>
      <c r="E210" s="845"/>
      <c r="F210" s="845" t="s">
        <v>1268</v>
      </c>
      <c r="G210" s="845"/>
      <c r="H210" s="845" t="s">
        <v>1269</v>
      </c>
      <c r="I210" s="845"/>
      <c r="J210" s="845" t="s">
        <v>1269</v>
      </c>
      <c r="K210" s="845"/>
      <c r="L210" s="845" t="s">
        <v>1270</v>
      </c>
      <c r="M210" s="845"/>
      <c r="N210" s="845" t="s">
        <v>1270</v>
      </c>
      <c r="O210" s="845"/>
      <c r="P210" s="845" t="s">
        <v>1270</v>
      </c>
      <c r="Q210" s="845"/>
    </row>
  </sheetData>
  <sheetProtection algorithmName="SHA-512" hashValue="PgY5GCwwnFSaRqPQhgNJHh3x41WNo9Cel427+aiLMkCXu787PtgPlECvYdIbMMhb0nshm6zEYmRjAGsiBF7mOQ==" saltValue="ctURksU0wh6kMgJj3Nq6cg==" spinCount="100000" sheet="1" objects="1" scenarios="1"/>
  <mergeCells count="641">
    <mergeCell ref="B145:C145"/>
    <mergeCell ref="B146:C146"/>
    <mergeCell ref="B147:C147"/>
    <mergeCell ref="B148:C148"/>
    <mergeCell ref="D145:G145"/>
    <mergeCell ref="D146:G146"/>
    <mergeCell ref="D147:G147"/>
    <mergeCell ref="D148:G148"/>
    <mergeCell ref="B140:C140"/>
    <mergeCell ref="B141:C141"/>
    <mergeCell ref="B142:C142"/>
    <mergeCell ref="B143:C143"/>
    <mergeCell ref="B144:C144"/>
    <mergeCell ref="D140:G140"/>
    <mergeCell ref="D141:G141"/>
    <mergeCell ref="D142:G142"/>
    <mergeCell ref="D143:G143"/>
    <mergeCell ref="D144:G144"/>
    <mergeCell ref="B135:C135"/>
    <mergeCell ref="B136:C136"/>
    <mergeCell ref="B137:C137"/>
    <mergeCell ref="B138:C138"/>
    <mergeCell ref="B139:C139"/>
    <mergeCell ref="D135:G135"/>
    <mergeCell ref="D136:G136"/>
    <mergeCell ref="D137:G137"/>
    <mergeCell ref="D138:G138"/>
    <mergeCell ref="D139:G139"/>
    <mergeCell ref="B130:C130"/>
    <mergeCell ref="B131:C131"/>
    <mergeCell ref="B132:C132"/>
    <mergeCell ref="B133:C133"/>
    <mergeCell ref="B134:C134"/>
    <mergeCell ref="D130:G130"/>
    <mergeCell ref="D131:G131"/>
    <mergeCell ref="D132:G132"/>
    <mergeCell ref="D133:G133"/>
    <mergeCell ref="D134:G134"/>
    <mergeCell ref="B125:C125"/>
    <mergeCell ref="B126:C126"/>
    <mergeCell ref="B127:C127"/>
    <mergeCell ref="B128:C128"/>
    <mergeCell ref="B129:C129"/>
    <mergeCell ref="D128:G128"/>
    <mergeCell ref="D127:G127"/>
    <mergeCell ref="D126:G126"/>
    <mergeCell ref="D125:G125"/>
    <mergeCell ref="D129:G129"/>
    <mergeCell ref="B121:C121"/>
    <mergeCell ref="B122:C122"/>
    <mergeCell ref="B123:C123"/>
    <mergeCell ref="B124:C124"/>
    <mergeCell ref="B120:G120"/>
    <mergeCell ref="D121:G121"/>
    <mergeCell ref="D124:G124"/>
    <mergeCell ref="D123:G123"/>
    <mergeCell ref="D122:G122"/>
    <mergeCell ref="B22:C22"/>
    <mergeCell ref="B23:C23"/>
    <mergeCell ref="B24:C24"/>
    <mergeCell ref="B25:C25"/>
    <mergeCell ref="B26:C26"/>
    <mergeCell ref="B27:C27"/>
    <mergeCell ref="B17:M17"/>
    <mergeCell ref="D18:M18"/>
    <mergeCell ref="B20:C20"/>
    <mergeCell ref="B21:C21"/>
    <mergeCell ref="B19:C19"/>
    <mergeCell ref="B34:C34"/>
    <mergeCell ref="B35:C35"/>
    <mergeCell ref="B36:C36"/>
    <mergeCell ref="B37:C37"/>
    <mergeCell ref="B38:C38"/>
    <mergeCell ref="B39:C39"/>
    <mergeCell ref="B28:C28"/>
    <mergeCell ref="B29:C29"/>
    <mergeCell ref="B30:C30"/>
    <mergeCell ref="B31:C31"/>
    <mergeCell ref="B32:C32"/>
    <mergeCell ref="B33:C33"/>
    <mergeCell ref="B40:C40"/>
    <mergeCell ref="B41:C41"/>
    <mergeCell ref="B42:C42"/>
    <mergeCell ref="B43:C43"/>
    <mergeCell ref="B48:B49"/>
    <mergeCell ref="C48:E49"/>
    <mergeCell ref="F48:Y48"/>
    <mergeCell ref="F49:G49"/>
    <mergeCell ref="T49:U49"/>
    <mergeCell ref="V49:W49"/>
    <mergeCell ref="X49:Y49"/>
    <mergeCell ref="R49:S49"/>
    <mergeCell ref="D47:E47"/>
    <mergeCell ref="B47:C47"/>
    <mergeCell ref="F47:Y47"/>
    <mergeCell ref="C50:E50"/>
    <mergeCell ref="F50:G50"/>
    <mergeCell ref="H50:I50"/>
    <mergeCell ref="J50:K50"/>
    <mergeCell ref="L50:M50"/>
    <mergeCell ref="N50:O50"/>
    <mergeCell ref="P50:Q50"/>
    <mergeCell ref="H49:I49"/>
    <mergeCell ref="J49:K49"/>
    <mergeCell ref="L49:M49"/>
    <mergeCell ref="N49:O49"/>
    <mergeCell ref="P49:Q49"/>
    <mergeCell ref="C52:E52"/>
    <mergeCell ref="F52:G52"/>
    <mergeCell ref="H52:I52"/>
    <mergeCell ref="J52:K52"/>
    <mergeCell ref="L52:M52"/>
    <mergeCell ref="R50:S50"/>
    <mergeCell ref="T50:U50"/>
    <mergeCell ref="V50:W50"/>
    <mergeCell ref="X50:Y50"/>
    <mergeCell ref="C51:E51"/>
    <mergeCell ref="F51:G51"/>
    <mergeCell ref="H51:I51"/>
    <mergeCell ref="J51:K51"/>
    <mergeCell ref="L51:M51"/>
    <mergeCell ref="N51:O51"/>
    <mergeCell ref="N52:O52"/>
    <mergeCell ref="P52:Q52"/>
    <mergeCell ref="R52:S52"/>
    <mergeCell ref="T52:U52"/>
    <mergeCell ref="V52:W52"/>
    <mergeCell ref="X52:Y52"/>
    <mergeCell ref="P51:Q51"/>
    <mergeCell ref="R51:S51"/>
    <mergeCell ref="T51:U51"/>
    <mergeCell ref="V51:W51"/>
    <mergeCell ref="X51:Y51"/>
    <mergeCell ref="R53:S53"/>
    <mergeCell ref="T53:U53"/>
    <mergeCell ref="V53:W53"/>
    <mergeCell ref="X53:Y53"/>
    <mergeCell ref="F54:G54"/>
    <mergeCell ref="H54:I54"/>
    <mergeCell ref="J54:K54"/>
    <mergeCell ref="L54:M54"/>
    <mergeCell ref="N54:O54"/>
    <mergeCell ref="P54:Q54"/>
    <mergeCell ref="F53:G53"/>
    <mergeCell ref="H53:I53"/>
    <mergeCell ref="J53:K53"/>
    <mergeCell ref="L53:M53"/>
    <mergeCell ref="N53:O53"/>
    <mergeCell ref="P53:Q53"/>
    <mergeCell ref="R54:S54"/>
    <mergeCell ref="T54:U54"/>
    <mergeCell ref="V54:W54"/>
    <mergeCell ref="X54:Y54"/>
    <mergeCell ref="X55:Y55"/>
    <mergeCell ref="F56:G56"/>
    <mergeCell ref="H56:I56"/>
    <mergeCell ref="J56:K56"/>
    <mergeCell ref="L56:M56"/>
    <mergeCell ref="N56:O56"/>
    <mergeCell ref="P56:Q56"/>
    <mergeCell ref="R56:S56"/>
    <mergeCell ref="T56:U56"/>
    <mergeCell ref="V56:W56"/>
    <mergeCell ref="X56:Y56"/>
    <mergeCell ref="F55:G55"/>
    <mergeCell ref="H55:I55"/>
    <mergeCell ref="J55:K55"/>
    <mergeCell ref="L55:M55"/>
    <mergeCell ref="N55:O55"/>
    <mergeCell ref="P55:Q55"/>
    <mergeCell ref="R55:S55"/>
    <mergeCell ref="T55:U55"/>
    <mergeCell ref="V55:W55"/>
    <mergeCell ref="R59:S59"/>
    <mergeCell ref="T59:U59"/>
    <mergeCell ref="V59:W59"/>
    <mergeCell ref="X57:Y57"/>
    <mergeCell ref="F58:G58"/>
    <mergeCell ref="H58:I58"/>
    <mergeCell ref="J58:K58"/>
    <mergeCell ref="L58:M58"/>
    <mergeCell ref="N58:O58"/>
    <mergeCell ref="P58:Q58"/>
    <mergeCell ref="R58:S58"/>
    <mergeCell ref="T58:U58"/>
    <mergeCell ref="V58:W58"/>
    <mergeCell ref="X58:Y58"/>
    <mergeCell ref="F57:G57"/>
    <mergeCell ref="H57:I57"/>
    <mergeCell ref="J57:K57"/>
    <mergeCell ref="L57:M57"/>
    <mergeCell ref="N57:O57"/>
    <mergeCell ref="P57:Q57"/>
    <mergeCell ref="R57:S57"/>
    <mergeCell ref="T57:U57"/>
    <mergeCell ref="V57:W57"/>
    <mergeCell ref="J61:K61"/>
    <mergeCell ref="L61:M61"/>
    <mergeCell ref="N61:O61"/>
    <mergeCell ref="P61:Q61"/>
    <mergeCell ref="R62:S62"/>
    <mergeCell ref="T62:U62"/>
    <mergeCell ref="V62:W62"/>
    <mergeCell ref="X59:Y59"/>
    <mergeCell ref="F60:G60"/>
    <mergeCell ref="H60:I60"/>
    <mergeCell ref="J60:K60"/>
    <mergeCell ref="L60:M60"/>
    <mergeCell ref="N60:O60"/>
    <mergeCell ref="P60:Q60"/>
    <mergeCell ref="R60:S60"/>
    <mergeCell ref="T60:U60"/>
    <mergeCell ref="V60:W60"/>
    <mergeCell ref="X60:Y60"/>
    <mergeCell ref="F59:G59"/>
    <mergeCell ref="H59:I59"/>
    <mergeCell ref="J59:K59"/>
    <mergeCell ref="L59:M59"/>
    <mergeCell ref="N59:O59"/>
    <mergeCell ref="P59:Q59"/>
    <mergeCell ref="X62:Y62"/>
    <mergeCell ref="B65:G66"/>
    <mergeCell ref="B87:G88"/>
    <mergeCell ref="R61:S61"/>
    <mergeCell ref="T61:U61"/>
    <mergeCell ref="V61:W61"/>
    <mergeCell ref="X61:Y61"/>
    <mergeCell ref="F62:G62"/>
    <mergeCell ref="H62:I62"/>
    <mergeCell ref="J62:K62"/>
    <mergeCell ref="L62:M62"/>
    <mergeCell ref="N62:O62"/>
    <mergeCell ref="P62:Q62"/>
    <mergeCell ref="B67:D67"/>
    <mergeCell ref="E67:G67"/>
    <mergeCell ref="B68:D68"/>
    <mergeCell ref="E68:G68"/>
    <mergeCell ref="B71:J71"/>
    <mergeCell ref="B72:D72"/>
    <mergeCell ref="E72:J72"/>
    <mergeCell ref="B73:D73"/>
    <mergeCell ref="E73:F73"/>
    <mergeCell ref="F61:G61"/>
    <mergeCell ref="H61:I61"/>
    <mergeCell ref="B76:D76"/>
    <mergeCell ref="E76:F76"/>
    <mergeCell ref="G76:H76"/>
    <mergeCell ref="I76:J76"/>
    <mergeCell ref="G73:H73"/>
    <mergeCell ref="I73:J73"/>
    <mergeCell ref="B75:D75"/>
    <mergeCell ref="E75:F75"/>
    <mergeCell ref="G75:H75"/>
    <mergeCell ref="I75:J75"/>
    <mergeCell ref="B74:D74"/>
    <mergeCell ref="E74:F74"/>
    <mergeCell ref="G74:H74"/>
    <mergeCell ref="I74:J74"/>
    <mergeCell ref="B94:C94"/>
    <mergeCell ref="D94:L94"/>
    <mergeCell ref="B95:C95"/>
    <mergeCell ref="D95:E95"/>
    <mergeCell ref="F95:G95"/>
    <mergeCell ref="H95:I95"/>
    <mergeCell ref="J95:L95"/>
    <mergeCell ref="B89:D89"/>
    <mergeCell ref="E89:G89"/>
    <mergeCell ref="B90:D90"/>
    <mergeCell ref="E90:G90"/>
    <mergeCell ref="B93:L93"/>
    <mergeCell ref="B98:C98"/>
    <mergeCell ref="D98:L98"/>
    <mergeCell ref="B101:P101"/>
    <mergeCell ref="B102:D102"/>
    <mergeCell ref="E102:P102"/>
    <mergeCell ref="B96:C96"/>
    <mergeCell ref="D96:E96"/>
    <mergeCell ref="F96:G96"/>
    <mergeCell ref="H96:I96"/>
    <mergeCell ref="J96:L96"/>
    <mergeCell ref="B97:C97"/>
    <mergeCell ref="D97:E97"/>
    <mergeCell ref="F97:G97"/>
    <mergeCell ref="H97:I97"/>
    <mergeCell ref="J97:L97"/>
    <mergeCell ref="B104:D104"/>
    <mergeCell ref="E104:F104"/>
    <mergeCell ref="G104:H104"/>
    <mergeCell ref="I104:J104"/>
    <mergeCell ref="K104:M104"/>
    <mergeCell ref="N104:P104"/>
    <mergeCell ref="B103:D103"/>
    <mergeCell ref="E103:F103"/>
    <mergeCell ref="G103:H103"/>
    <mergeCell ref="I103:J103"/>
    <mergeCell ref="K103:M103"/>
    <mergeCell ref="N103:P103"/>
    <mergeCell ref="B106:D106"/>
    <mergeCell ref="E106:F106"/>
    <mergeCell ref="G106:H106"/>
    <mergeCell ref="I106:J106"/>
    <mergeCell ref="K106:M106"/>
    <mergeCell ref="N106:P106"/>
    <mergeCell ref="B105:D105"/>
    <mergeCell ref="E105:F105"/>
    <mergeCell ref="G105:H105"/>
    <mergeCell ref="I105:J105"/>
    <mergeCell ref="K105:M105"/>
    <mergeCell ref="N105:P105"/>
    <mergeCell ref="B108:D108"/>
    <mergeCell ref="E108:F108"/>
    <mergeCell ref="G108:H108"/>
    <mergeCell ref="I108:J108"/>
    <mergeCell ref="K108:M108"/>
    <mergeCell ref="N108:P108"/>
    <mergeCell ref="B107:D107"/>
    <mergeCell ref="E107:F107"/>
    <mergeCell ref="G107:H107"/>
    <mergeCell ref="I107:J107"/>
    <mergeCell ref="K107:M107"/>
    <mergeCell ref="N107:P107"/>
    <mergeCell ref="B3:Y3"/>
    <mergeCell ref="B2:Y2"/>
    <mergeCell ref="B116:D116"/>
    <mergeCell ref="E116:G116"/>
    <mergeCell ref="B117:D117"/>
    <mergeCell ref="E117:G117"/>
    <mergeCell ref="B44:C44"/>
    <mergeCell ref="B111:D111"/>
    <mergeCell ref="E111:P111"/>
    <mergeCell ref="B114:G114"/>
    <mergeCell ref="B115:D115"/>
    <mergeCell ref="E115:G115"/>
    <mergeCell ref="B110:D110"/>
    <mergeCell ref="E110:F110"/>
    <mergeCell ref="G110:H110"/>
    <mergeCell ref="I110:J110"/>
    <mergeCell ref="K110:M110"/>
    <mergeCell ref="N110:P110"/>
    <mergeCell ref="B109:D109"/>
    <mergeCell ref="E109:F109"/>
    <mergeCell ref="G109:H109"/>
    <mergeCell ref="I109:J109"/>
    <mergeCell ref="K109:M109"/>
    <mergeCell ref="N109:P109"/>
    <mergeCell ref="B150:G150"/>
    <mergeCell ref="B151:C151"/>
    <mergeCell ref="D151:G151"/>
    <mergeCell ref="B152:C152"/>
    <mergeCell ref="D152:G152"/>
    <mergeCell ref="B153:C153"/>
    <mergeCell ref="D153:G153"/>
    <mergeCell ref="B154:C154"/>
    <mergeCell ref="D154:G154"/>
    <mergeCell ref="B155:C155"/>
    <mergeCell ref="D155:G155"/>
    <mergeCell ref="B156:C156"/>
    <mergeCell ref="D156:G156"/>
    <mergeCell ref="B157:C157"/>
    <mergeCell ref="D157:G157"/>
    <mergeCell ref="B158:C158"/>
    <mergeCell ref="D158:G158"/>
    <mergeCell ref="B159:C159"/>
    <mergeCell ref="D159:G159"/>
    <mergeCell ref="B160:C160"/>
    <mergeCell ref="D160:G160"/>
    <mergeCell ref="B161:C161"/>
    <mergeCell ref="D161:G161"/>
    <mergeCell ref="B162:C162"/>
    <mergeCell ref="D162:G162"/>
    <mergeCell ref="B163:C163"/>
    <mergeCell ref="D163:G163"/>
    <mergeCell ref="B164:C164"/>
    <mergeCell ref="D164:G164"/>
    <mergeCell ref="B165:C165"/>
    <mergeCell ref="D165:G165"/>
    <mergeCell ref="B166:C166"/>
    <mergeCell ref="D166:G166"/>
    <mergeCell ref="B167:C167"/>
    <mergeCell ref="D167:G167"/>
    <mergeCell ref="B168:C168"/>
    <mergeCell ref="D168:G168"/>
    <mergeCell ref="B169:C169"/>
    <mergeCell ref="D169:G169"/>
    <mergeCell ref="B170:C170"/>
    <mergeCell ref="D170:G170"/>
    <mergeCell ref="B171:C171"/>
    <mergeCell ref="D171:G171"/>
    <mergeCell ref="B172:C172"/>
    <mergeCell ref="D172:G172"/>
    <mergeCell ref="B173:C173"/>
    <mergeCell ref="D173:G173"/>
    <mergeCell ref="B174:C174"/>
    <mergeCell ref="D174:G174"/>
    <mergeCell ref="B175:C175"/>
    <mergeCell ref="D175:G175"/>
    <mergeCell ref="B176:C176"/>
    <mergeCell ref="D176:G176"/>
    <mergeCell ref="B177:C177"/>
    <mergeCell ref="D177:G177"/>
    <mergeCell ref="B178:C178"/>
    <mergeCell ref="D178:G178"/>
    <mergeCell ref="B181:Q181"/>
    <mergeCell ref="B182:C182"/>
    <mergeCell ref="D182:E182"/>
    <mergeCell ref="F182:G182"/>
    <mergeCell ref="H182:I182"/>
    <mergeCell ref="J182:K182"/>
    <mergeCell ref="L182:M182"/>
    <mergeCell ref="N182:O182"/>
    <mergeCell ref="P182:Q182"/>
    <mergeCell ref="B183:C183"/>
    <mergeCell ref="D183:E183"/>
    <mergeCell ref="F183:G183"/>
    <mergeCell ref="H183:I183"/>
    <mergeCell ref="J183:K183"/>
    <mergeCell ref="L183:M183"/>
    <mergeCell ref="N183:O183"/>
    <mergeCell ref="P183:Q183"/>
    <mergeCell ref="B184:C184"/>
    <mergeCell ref="D184:E184"/>
    <mergeCell ref="F184:G184"/>
    <mergeCell ref="H184:I184"/>
    <mergeCell ref="J184:K184"/>
    <mergeCell ref="L184:M184"/>
    <mergeCell ref="N184:O184"/>
    <mergeCell ref="P184:Q184"/>
    <mergeCell ref="B185:C185"/>
    <mergeCell ref="D185:E185"/>
    <mergeCell ref="F185:G185"/>
    <mergeCell ref="H185:I185"/>
    <mergeCell ref="J185:K185"/>
    <mergeCell ref="L185:M185"/>
    <mergeCell ref="N185:O185"/>
    <mergeCell ref="P185:Q185"/>
    <mergeCell ref="B186:C186"/>
    <mergeCell ref="D186:E186"/>
    <mergeCell ref="F186:G186"/>
    <mergeCell ref="H186:I186"/>
    <mergeCell ref="J186:K186"/>
    <mergeCell ref="L186:M186"/>
    <mergeCell ref="N186:O186"/>
    <mergeCell ref="P186:Q186"/>
    <mergeCell ref="B187:C187"/>
    <mergeCell ref="D187:E187"/>
    <mergeCell ref="F187:G187"/>
    <mergeCell ref="H187:I187"/>
    <mergeCell ref="J187:K187"/>
    <mergeCell ref="L187:M187"/>
    <mergeCell ref="N187:O187"/>
    <mergeCell ref="P187:Q187"/>
    <mergeCell ref="B188:C188"/>
    <mergeCell ref="D188:E188"/>
    <mergeCell ref="F188:G188"/>
    <mergeCell ref="H188:I188"/>
    <mergeCell ref="J188:K188"/>
    <mergeCell ref="L188:M188"/>
    <mergeCell ref="N188:O188"/>
    <mergeCell ref="P188:Q188"/>
    <mergeCell ref="B189:C189"/>
    <mergeCell ref="D189:E189"/>
    <mergeCell ref="F189:G189"/>
    <mergeCell ref="H189:I189"/>
    <mergeCell ref="J189:K189"/>
    <mergeCell ref="L189:M189"/>
    <mergeCell ref="N189:O189"/>
    <mergeCell ref="P189:Q189"/>
    <mergeCell ref="B190:C190"/>
    <mergeCell ref="D190:E190"/>
    <mergeCell ref="F190:G190"/>
    <mergeCell ref="H190:I190"/>
    <mergeCell ref="J190:K190"/>
    <mergeCell ref="L190:M190"/>
    <mergeCell ref="N190:O190"/>
    <mergeCell ref="P190:Q190"/>
    <mergeCell ref="B191:C191"/>
    <mergeCell ref="D191:E191"/>
    <mergeCell ref="F191:G191"/>
    <mergeCell ref="H191:I191"/>
    <mergeCell ref="J191:K191"/>
    <mergeCell ref="L191:M191"/>
    <mergeCell ref="N191:O191"/>
    <mergeCell ref="P191:Q191"/>
    <mergeCell ref="B192:C192"/>
    <mergeCell ref="D192:E192"/>
    <mergeCell ref="F192:G192"/>
    <mergeCell ref="H192:I192"/>
    <mergeCell ref="J192:K192"/>
    <mergeCell ref="L192:M192"/>
    <mergeCell ref="N192:O192"/>
    <mergeCell ref="P192:Q192"/>
    <mergeCell ref="B193:C193"/>
    <mergeCell ref="D193:E193"/>
    <mergeCell ref="F193:G193"/>
    <mergeCell ref="H193:I193"/>
    <mergeCell ref="J193:K193"/>
    <mergeCell ref="L193:M193"/>
    <mergeCell ref="N193:O193"/>
    <mergeCell ref="P193:Q193"/>
    <mergeCell ref="B194:C194"/>
    <mergeCell ref="D194:E194"/>
    <mergeCell ref="F194:G194"/>
    <mergeCell ref="H194:I194"/>
    <mergeCell ref="J194:K194"/>
    <mergeCell ref="L194:M194"/>
    <mergeCell ref="N194:O194"/>
    <mergeCell ref="P194:Q194"/>
    <mergeCell ref="B195:C195"/>
    <mergeCell ref="D195:E195"/>
    <mergeCell ref="F195:G195"/>
    <mergeCell ref="H195:I195"/>
    <mergeCell ref="J195:K195"/>
    <mergeCell ref="L195:M195"/>
    <mergeCell ref="N195:O195"/>
    <mergeCell ref="P195:Q195"/>
    <mergeCell ref="B196:C196"/>
    <mergeCell ref="D196:E196"/>
    <mergeCell ref="F196:G196"/>
    <mergeCell ref="H196:I196"/>
    <mergeCell ref="J196:K196"/>
    <mergeCell ref="L196:M196"/>
    <mergeCell ref="N196:O196"/>
    <mergeCell ref="P196:Q196"/>
    <mergeCell ref="B197:C197"/>
    <mergeCell ref="D197:E197"/>
    <mergeCell ref="F197:G197"/>
    <mergeCell ref="H197:I197"/>
    <mergeCell ref="J197:K197"/>
    <mergeCell ref="L197:M197"/>
    <mergeCell ref="N197:O197"/>
    <mergeCell ref="P197:Q197"/>
    <mergeCell ref="B198:C198"/>
    <mergeCell ref="D198:E198"/>
    <mergeCell ref="F198:G198"/>
    <mergeCell ref="H198:I198"/>
    <mergeCell ref="J198:K198"/>
    <mergeCell ref="L198:M198"/>
    <mergeCell ref="N198:O198"/>
    <mergeCell ref="P198:Q198"/>
    <mergeCell ref="B199:C199"/>
    <mergeCell ref="D199:E199"/>
    <mergeCell ref="F199:G199"/>
    <mergeCell ref="H199:I199"/>
    <mergeCell ref="J199:K199"/>
    <mergeCell ref="L199:M199"/>
    <mergeCell ref="N199:O199"/>
    <mergeCell ref="P199:Q199"/>
    <mergeCell ref="B200:C200"/>
    <mergeCell ref="D200:E200"/>
    <mergeCell ref="F200:G200"/>
    <mergeCell ref="H200:I200"/>
    <mergeCell ref="J200:K200"/>
    <mergeCell ref="L200:M200"/>
    <mergeCell ref="N200:O200"/>
    <mergeCell ref="P200:Q200"/>
    <mergeCell ref="B201:C201"/>
    <mergeCell ref="D201:E201"/>
    <mergeCell ref="F201:G201"/>
    <mergeCell ref="H201:I201"/>
    <mergeCell ref="J201:K201"/>
    <mergeCell ref="L201:M201"/>
    <mergeCell ref="N201:O201"/>
    <mergeCell ref="P201:Q201"/>
    <mergeCell ref="B202:C202"/>
    <mergeCell ref="D202:E202"/>
    <mergeCell ref="F202:G202"/>
    <mergeCell ref="H202:I202"/>
    <mergeCell ref="J202:K202"/>
    <mergeCell ref="L202:M202"/>
    <mergeCell ref="N202:O202"/>
    <mergeCell ref="P202:Q202"/>
    <mergeCell ref="B203:C203"/>
    <mergeCell ref="D203:E203"/>
    <mergeCell ref="F203:G203"/>
    <mergeCell ref="H203:I203"/>
    <mergeCell ref="J203:K203"/>
    <mergeCell ref="L203:M203"/>
    <mergeCell ref="N203:O203"/>
    <mergeCell ref="P203:Q203"/>
    <mergeCell ref="N204:O204"/>
    <mergeCell ref="P204:Q204"/>
    <mergeCell ref="B205:C205"/>
    <mergeCell ref="D205:E205"/>
    <mergeCell ref="F205:G205"/>
    <mergeCell ref="H205:I205"/>
    <mergeCell ref="J205:K205"/>
    <mergeCell ref="L205:M205"/>
    <mergeCell ref="N205:O205"/>
    <mergeCell ref="P205:Q205"/>
    <mergeCell ref="N206:O206"/>
    <mergeCell ref="P206:Q206"/>
    <mergeCell ref="B207:C207"/>
    <mergeCell ref="D207:E207"/>
    <mergeCell ref="F207:G207"/>
    <mergeCell ref="H207:I207"/>
    <mergeCell ref="J207:K207"/>
    <mergeCell ref="L207:M207"/>
    <mergeCell ref="N207:O207"/>
    <mergeCell ref="P207:Q207"/>
    <mergeCell ref="N210:O210"/>
    <mergeCell ref="P210:Q210"/>
    <mergeCell ref="B208:C208"/>
    <mergeCell ref="D208:E208"/>
    <mergeCell ref="F208:G208"/>
    <mergeCell ref="H208:I208"/>
    <mergeCell ref="J208:K208"/>
    <mergeCell ref="L208:M208"/>
    <mergeCell ref="N208:O208"/>
    <mergeCell ref="P208:Q208"/>
    <mergeCell ref="B209:C209"/>
    <mergeCell ref="D209:E209"/>
    <mergeCell ref="F209:G209"/>
    <mergeCell ref="H209:I209"/>
    <mergeCell ref="J209:K209"/>
    <mergeCell ref="L209:M209"/>
    <mergeCell ref="N209:O209"/>
    <mergeCell ref="P209:Q209"/>
    <mergeCell ref="F14:H14"/>
    <mergeCell ref="F13:H13"/>
    <mergeCell ref="B14:D14"/>
    <mergeCell ref="B13:D13"/>
    <mergeCell ref="J14:L14"/>
    <mergeCell ref="J13:L13"/>
    <mergeCell ref="B210:C210"/>
    <mergeCell ref="D210:E210"/>
    <mergeCell ref="F210:G210"/>
    <mergeCell ref="H210:I210"/>
    <mergeCell ref="J210:K210"/>
    <mergeCell ref="L210:M210"/>
    <mergeCell ref="B206:C206"/>
    <mergeCell ref="D206:E206"/>
    <mergeCell ref="F206:G206"/>
    <mergeCell ref="H206:I206"/>
    <mergeCell ref="J206:K206"/>
    <mergeCell ref="L206:M206"/>
    <mergeCell ref="B204:C204"/>
    <mergeCell ref="D204:E204"/>
    <mergeCell ref="F204:G204"/>
    <mergeCell ref="H204:I204"/>
    <mergeCell ref="J204:K204"/>
    <mergeCell ref="L204:M204"/>
  </mergeCells>
  <conditionalFormatting sqref="D44:M44">
    <cfRule type="cellIs" dxfId="0" priority="1" operator="notEqual">
      <formula>100</formula>
    </cfRule>
  </conditionalFormatting>
  <hyperlinks>
    <hyperlink ref="I68" r:id="rId1" xr:uid="{00000000-0004-0000-0E00-000000000000}"/>
    <hyperlink ref="L74" r:id="rId2" xr:uid="{00000000-0004-0000-0E00-000001000000}"/>
    <hyperlink ref="L83" r:id="rId3" xr:uid="{00000000-0004-0000-0E00-000002000000}"/>
    <hyperlink ref="L90" r:id="rId4" xr:uid="{00000000-0004-0000-0E00-000003000000}"/>
    <hyperlink ref="N96" r:id="rId5" xr:uid="{00000000-0004-0000-0E00-000004000000}"/>
    <hyperlink ref="R104" r:id="rId6" xr:uid="{00000000-0004-0000-0E00-000005000000}"/>
    <hyperlink ref="I123" r:id="rId7" xr:uid="{00000000-0004-0000-0E00-000006000000}"/>
    <hyperlink ref="L77" r:id="rId8" xr:uid="{00000000-0004-0000-0E00-000007000000}"/>
    <hyperlink ref="I155" r:id="rId9" xr:uid="{00000000-0004-0000-0E00-000008000000}"/>
    <hyperlink ref="S185" r:id="rId10" xr:uid="{00000000-0004-0000-0E00-000009000000}"/>
    <hyperlink ref="I117" r:id="rId11" xr:uid="{00000000-0004-0000-0E00-00000A000000}"/>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P188"/>
  <sheetViews>
    <sheetView showGridLines="0" tabSelected="1" zoomScaleNormal="100" workbookViewId="0">
      <pane ySplit="6" topLeftCell="A7" activePane="bottomLeft" state="frozen"/>
      <selection pane="bottomLeft" activeCell="I11" sqref="I11:R11"/>
    </sheetView>
  </sheetViews>
  <sheetFormatPr defaultRowHeight="15" x14ac:dyDescent="0.25"/>
  <cols>
    <col min="1" max="11" width="5.7109375" customWidth="1"/>
    <col min="12" max="12" width="3.7109375" customWidth="1"/>
    <col min="13" max="18" width="5.7109375" customWidth="1"/>
    <col min="19" max="19" width="3.7109375" customWidth="1"/>
    <col min="20" max="22" width="5.7109375" customWidth="1"/>
    <col min="23" max="23" width="3.7109375" customWidth="1"/>
    <col min="24" max="31" width="5.7109375" customWidth="1"/>
    <col min="32" max="32" width="7.42578125" customWidth="1"/>
    <col min="33" max="33" width="5.7109375" customWidth="1"/>
    <col min="34" max="34" width="9.140625" style="594"/>
    <col min="35" max="40" width="9.7109375" style="595" customWidth="1"/>
    <col min="41" max="41" width="9.140625" style="594"/>
  </cols>
  <sheetData>
    <row r="1" spans="1:41" x14ac:dyDescent="0.25">
      <c r="A1" s="50"/>
      <c r="B1" s="701" t="s">
        <v>350</v>
      </c>
      <c r="C1" s="701"/>
      <c r="D1" s="733" t="s">
        <v>346</v>
      </c>
      <c r="E1" s="734"/>
      <c r="F1" s="734"/>
      <c r="G1" s="735"/>
      <c r="H1" s="456" t="s">
        <v>1087</v>
      </c>
      <c r="I1" s="455"/>
      <c r="J1" s="455"/>
      <c r="K1" s="455"/>
      <c r="L1" s="455"/>
      <c r="M1" s="455"/>
      <c r="N1" s="633" t="s">
        <v>354</v>
      </c>
      <c r="O1" s="634"/>
      <c r="P1" s="634"/>
      <c r="Q1" s="635"/>
      <c r="R1" s="456" t="s">
        <v>1091</v>
      </c>
      <c r="S1" s="455"/>
      <c r="T1" s="455"/>
      <c r="U1" s="455"/>
      <c r="V1" s="455"/>
      <c r="W1" s="455"/>
      <c r="X1" s="455"/>
      <c r="Y1" s="709" t="s">
        <v>351</v>
      </c>
      <c r="Z1" s="709"/>
      <c r="AA1" s="709"/>
      <c r="AB1" s="709"/>
      <c r="AC1" s="456" t="s">
        <v>1085</v>
      </c>
      <c r="AD1" s="455"/>
      <c r="AE1" s="455"/>
      <c r="AF1" s="455"/>
      <c r="AG1" s="455"/>
    </row>
    <row r="2" spans="1:41" s="35" customFormat="1" x14ac:dyDescent="0.25">
      <c r="A2" s="50"/>
      <c r="B2" s="701"/>
      <c r="C2" s="701"/>
      <c r="D2" s="730" t="s">
        <v>347</v>
      </c>
      <c r="E2" s="731"/>
      <c r="F2" s="731"/>
      <c r="G2" s="732"/>
      <c r="H2" s="456" t="s">
        <v>1088</v>
      </c>
      <c r="I2" s="455"/>
      <c r="J2" s="455"/>
      <c r="K2" s="455"/>
      <c r="L2" s="455"/>
      <c r="M2" s="455"/>
      <c r="N2" s="613" t="s">
        <v>349</v>
      </c>
      <c r="O2" s="699"/>
      <c r="P2" s="699"/>
      <c r="Q2" s="614"/>
      <c r="R2" s="456" t="s">
        <v>1092</v>
      </c>
      <c r="S2" s="455"/>
      <c r="T2" s="455"/>
      <c r="U2" s="455"/>
      <c r="V2" s="455"/>
      <c r="W2" s="455"/>
      <c r="X2" s="455"/>
      <c r="Y2" s="739" t="s">
        <v>875</v>
      </c>
      <c r="Z2" s="739"/>
      <c r="AA2" s="739"/>
      <c r="AB2" s="739"/>
      <c r="AC2" s="456" t="s">
        <v>1086</v>
      </c>
      <c r="AD2" s="455"/>
      <c r="AE2" s="455"/>
      <c r="AF2" s="455"/>
      <c r="AG2" s="455"/>
      <c r="AH2" s="594"/>
      <c r="AI2" s="595"/>
      <c r="AJ2" s="595"/>
      <c r="AK2" s="595"/>
      <c r="AL2" s="595"/>
      <c r="AM2" s="595"/>
      <c r="AN2" s="595"/>
      <c r="AO2" s="594"/>
    </row>
    <row r="3" spans="1:41" s="35" customFormat="1" x14ac:dyDescent="0.25">
      <c r="A3" s="50"/>
      <c r="B3" s="701"/>
      <c r="C3" s="701"/>
      <c r="D3" s="727" t="s">
        <v>348</v>
      </c>
      <c r="E3" s="728"/>
      <c r="F3" s="728"/>
      <c r="G3" s="729"/>
      <c r="H3" s="456" t="s">
        <v>1089</v>
      </c>
      <c r="I3" s="455"/>
      <c r="J3" s="455"/>
      <c r="K3" s="455"/>
      <c r="L3" s="455"/>
      <c r="M3" s="455"/>
      <c r="N3" s="710" t="s">
        <v>353</v>
      </c>
      <c r="O3" s="711"/>
      <c r="P3" s="711"/>
      <c r="Q3" s="712"/>
      <c r="R3" s="456" t="s">
        <v>352</v>
      </c>
      <c r="S3" s="455"/>
      <c r="T3" s="455"/>
      <c r="U3" s="455"/>
      <c r="V3" s="455"/>
      <c r="W3" s="455"/>
      <c r="X3" s="455"/>
      <c r="Y3" s="455"/>
      <c r="Z3" s="455"/>
      <c r="AA3" s="455"/>
      <c r="AB3" s="455"/>
      <c r="AC3" s="455"/>
      <c r="AD3" s="455"/>
      <c r="AE3" s="455"/>
      <c r="AF3" s="455"/>
      <c r="AG3" s="455"/>
      <c r="AH3" s="594"/>
      <c r="AI3" s="595"/>
      <c r="AJ3" s="595"/>
      <c r="AK3" s="595"/>
      <c r="AL3" s="595"/>
      <c r="AM3" s="595"/>
      <c r="AN3" s="595"/>
      <c r="AO3" s="594"/>
    </row>
    <row r="4" spans="1:41" s="35" customFormat="1" x14ac:dyDescent="0.25">
      <c r="A4" s="50"/>
      <c r="B4" s="701"/>
      <c r="C4" s="701"/>
      <c r="D4" s="724" t="s">
        <v>355</v>
      </c>
      <c r="E4" s="725"/>
      <c r="F4" s="725"/>
      <c r="G4" s="726"/>
      <c r="H4" s="456" t="s">
        <v>1090</v>
      </c>
      <c r="I4" s="455"/>
      <c r="J4" s="455"/>
      <c r="K4" s="455"/>
      <c r="L4" s="455"/>
      <c r="M4" s="455"/>
      <c r="N4" s="736" t="s">
        <v>362</v>
      </c>
      <c r="O4" s="737"/>
      <c r="P4" s="737"/>
      <c r="Q4" s="738"/>
      <c r="R4" s="457" t="s">
        <v>363</v>
      </c>
      <c r="S4" s="455"/>
      <c r="T4" s="455"/>
      <c r="U4" s="455"/>
      <c r="V4" s="455"/>
      <c r="W4" s="455"/>
      <c r="X4" s="455"/>
      <c r="Y4" s="455"/>
      <c r="Z4" s="455"/>
      <c r="AA4" s="455"/>
      <c r="AB4" s="455"/>
      <c r="AC4" s="455"/>
      <c r="AD4" s="455"/>
      <c r="AE4" s="455"/>
      <c r="AF4" s="455"/>
      <c r="AG4" s="455"/>
      <c r="AH4" s="594"/>
      <c r="AI4" s="595"/>
      <c r="AJ4" s="595"/>
      <c r="AK4" s="595"/>
      <c r="AL4" s="595"/>
      <c r="AM4" s="595"/>
      <c r="AN4" s="595"/>
      <c r="AO4" s="594"/>
    </row>
    <row r="5" spans="1:41" s="35" customFormat="1" ht="15" customHeight="1" x14ac:dyDescent="0.25">
      <c r="A5" s="50"/>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594"/>
      <c r="AI5" s="595"/>
      <c r="AJ5" s="595"/>
      <c r="AK5" s="595"/>
      <c r="AL5" s="595"/>
      <c r="AM5" s="595"/>
      <c r="AN5" s="595"/>
      <c r="AO5" s="594"/>
    </row>
    <row r="6" spans="1:41" s="35" customFormat="1" ht="18.75" customHeight="1" x14ac:dyDescent="0.25">
      <c r="B6" s="455"/>
      <c r="C6" s="455"/>
      <c r="D6" s="455"/>
      <c r="E6" s="455"/>
      <c r="F6" s="455"/>
      <c r="G6" s="455"/>
      <c r="H6" s="455"/>
      <c r="I6" s="740" t="s">
        <v>361</v>
      </c>
      <c r="J6" s="741"/>
      <c r="K6" s="741"/>
      <c r="L6" s="741"/>
      <c r="M6" s="741"/>
      <c r="N6" s="741"/>
      <c r="O6" s="741"/>
      <c r="P6" s="741"/>
      <c r="Q6" s="741"/>
      <c r="R6" s="742"/>
      <c r="S6" s="455"/>
      <c r="T6" s="740" t="s">
        <v>365</v>
      </c>
      <c r="U6" s="741"/>
      <c r="V6" s="742"/>
      <c r="W6" s="455"/>
      <c r="X6" s="740" t="s">
        <v>364</v>
      </c>
      <c r="Y6" s="741"/>
      <c r="Z6" s="741"/>
      <c r="AA6" s="741"/>
      <c r="AB6" s="741"/>
      <c r="AC6" s="742"/>
      <c r="AD6" s="746" t="s">
        <v>1142</v>
      </c>
      <c r="AE6" s="746"/>
      <c r="AF6" s="746"/>
      <c r="AG6" s="746"/>
      <c r="AH6" s="594"/>
      <c r="AI6" s="595"/>
      <c r="AJ6" s="595"/>
      <c r="AK6" s="595"/>
      <c r="AL6" s="595"/>
      <c r="AM6" s="595"/>
      <c r="AN6" s="595"/>
      <c r="AO6" s="594"/>
    </row>
    <row r="7" spans="1:41" ht="36" customHeight="1" x14ac:dyDescent="0.25">
      <c r="A7" s="50"/>
      <c r="B7" s="702" t="s">
        <v>1093</v>
      </c>
      <c r="C7" s="702"/>
      <c r="D7" s="702"/>
      <c r="E7" s="702"/>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row>
    <row r="8" spans="1:41" s="35" customFormat="1" ht="35.25" customHeight="1" x14ac:dyDescent="0.25">
      <c r="B8" s="601" t="s">
        <v>369</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594"/>
      <c r="AI8" s="595"/>
      <c r="AJ8" s="595"/>
      <c r="AK8" s="595"/>
      <c r="AL8" s="595"/>
      <c r="AM8" s="595"/>
      <c r="AN8" s="595"/>
      <c r="AO8" s="594"/>
    </row>
    <row r="9" spans="1:41" ht="21" customHeight="1" x14ac:dyDescent="0.25">
      <c r="B9" s="51" t="s">
        <v>332</v>
      </c>
      <c r="F9" s="35"/>
      <c r="G9" s="35"/>
      <c r="H9" s="35"/>
      <c r="I9" s="35"/>
      <c r="J9" s="35"/>
      <c r="K9" s="35"/>
      <c r="L9" s="35"/>
      <c r="M9" s="35"/>
      <c r="N9" s="35"/>
      <c r="AG9" s="599" t="str">
        <f>CONCATENATE("Worksheet ",Instructions!D10)</f>
        <v>Worksheet 2.10.1</v>
      </c>
    </row>
    <row r="10" spans="1:41" s="35" customFormat="1" ht="15" customHeight="1" x14ac:dyDescent="0.35">
      <c r="B10" s="43"/>
      <c r="AH10" s="596"/>
      <c r="AI10" s="595"/>
      <c r="AJ10" s="595"/>
      <c r="AK10" s="595"/>
      <c r="AL10" s="595"/>
      <c r="AM10" s="595"/>
      <c r="AN10" s="595"/>
      <c r="AO10" s="594"/>
    </row>
    <row r="11" spans="1:41" s="568" customFormat="1" ht="15" customHeight="1" x14ac:dyDescent="0.25">
      <c r="C11" s="568" t="s">
        <v>1199</v>
      </c>
      <c r="I11" s="716"/>
      <c r="J11" s="716"/>
      <c r="K11" s="716"/>
      <c r="L11" s="716"/>
      <c r="M11" s="716"/>
      <c r="N11" s="716"/>
      <c r="O11" s="716"/>
      <c r="P11" s="716"/>
      <c r="Q11" s="716"/>
      <c r="R11" s="716"/>
      <c r="T11" s="90"/>
      <c r="U11" s="91"/>
      <c r="V11" s="92"/>
      <c r="X11" s="624" t="str">
        <f>IF(ISBLANK(I11),"Roadway Project",I11)</f>
        <v>Roadway Project</v>
      </c>
      <c r="Y11" s="625"/>
      <c r="Z11" s="625"/>
      <c r="AA11" s="625"/>
      <c r="AB11" s="625"/>
      <c r="AC11" s="626"/>
      <c r="AD11" s="708"/>
      <c r="AE11" s="605"/>
      <c r="AF11" s="605"/>
      <c r="AG11" s="605"/>
      <c r="AH11" s="596"/>
      <c r="AI11" s="595"/>
      <c r="AJ11" s="595"/>
      <c r="AK11" s="595"/>
      <c r="AL11" s="595"/>
      <c r="AM11" s="595"/>
      <c r="AN11" s="595"/>
      <c r="AO11" s="594"/>
    </row>
    <row r="12" spans="1:41" s="568" customFormat="1" ht="15" customHeight="1" x14ac:dyDescent="0.25">
      <c r="C12" s="568" t="s">
        <v>1200</v>
      </c>
      <c r="I12" s="716"/>
      <c r="J12" s="716"/>
      <c r="K12" s="716"/>
      <c r="L12" s="716"/>
      <c r="M12" s="716"/>
      <c r="N12" s="716"/>
      <c r="O12" s="716"/>
      <c r="P12" s="716"/>
      <c r="Q12" s="716"/>
      <c r="R12" s="716"/>
      <c r="T12" s="90"/>
      <c r="U12" s="91"/>
      <c r="V12" s="92"/>
      <c r="X12" s="624" t="str">
        <f>IF(ISBLANK(I12),"RULD Calculation",I12)</f>
        <v>RULD Calculation</v>
      </c>
      <c r="Y12" s="625"/>
      <c r="Z12" s="625"/>
      <c r="AA12" s="625"/>
      <c r="AB12" s="625"/>
      <c r="AC12" s="626"/>
      <c r="AD12" s="708"/>
      <c r="AE12" s="605"/>
      <c r="AF12" s="605"/>
      <c r="AG12" s="605"/>
      <c r="AH12" s="596"/>
      <c r="AI12" s="595"/>
      <c r="AJ12" s="595"/>
      <c r="AK12" s="595"/>
      <c r="AL12" s="595"/>
      <c r="AM12" s="595"/>
      <c r="AN12" s="595"/>
      <c r="AO12" s="594"/>
    </row>
    <row r="13" spans="1:41" x14ac:dyDescent="0.25">
      <c r="B13" s="453" t="s">
        <v>338</v>
      </c>
      <c r="C13" s="44" t="s">
        <v>0</v>
      </c>
      <c r="D13" s="35"/>
      <c r="I13" s="747" t="s">
        <v>63</v>
      </c>
      <c r="J13" s="747"/>
      <c r="K13" s="747"/>
      <c r="L13" s="747"/>
      <c r="M13" s="747"/>
      <c r="N13" s="747"/>
      <c r="O13" s="747"/>
      <c r="P13" s="747"/>
      <c r="Q13" s="747"/>
      <c r="R13" s="747"/>
      <c r="T13" s="90"/>
      <c r="U13" s="91"/>
      <c r="V13" s="92"/>
      <c r="X13" s="624" t="str">
        <f>IF(District="(choose a district)","",District)</f>
        <v/>
      </c>
      <c r="Y13" s="625"/>
      <c r="Z13" s="625"/>
      <c r="AA13" s="625"/>
      <c r="AB13" s="625"/>
      <c r="AC13" s="626"/>
      <c r="AD13" s="708" t="str">
        <f>IF(District="(choose a district)","Entry Required","")</f>
        <v>Entry Required</v>
      </c>
      <c r="AE13" s="605"/>
      <c r="AF13" s="605"/>
      <c r="AG13" s="605"/>
      <c r="AH13" s="597">
        <f>IF(AD13="",0,1)</f>
        <v>1</v>
      </c>
    </row>
    <row r="14" spans="1:41" s="35" customFormat="1" x14ac:dyDescent="0.25">
      <c r="B14" s="453" t="s">
        <v>338</v>
      </c>
      <c r="C14" s="44" t="s">
        <v>1</v>
      </c>
      <c r="D14"/>
      <c r="I14" s="706" t="s">
        <v>64</v>
      </c>
      <c r="J14" s="706"/>
      <c r="K14" s="706"/>
      <c r="L14" s="706"/>
      <c r="M14" s="706"/>
      <c r="N14" s="706"/>
      <c r="O14" s="706"/>
      <c r="P14" s="706"/>
      <c r="Q14" s="706"/>
      <c r="R14" s="706"/>
      <c r="T14" s="90"/>
      <c r="U14" s="91"/>
      <c r="V14" s="92"/>
      <c r="X14" s="624" t="str">
        <f>IF(County="(choose a county)","",County)</f>
        <v/>
      </c>
      <c r="Y14" s="625"/>
      <c r="Z14" s="625"/>
      <c r="AA14" s="625"/>
      <c r="AB14" s="625"/>
      <c r="AC14" s="626"/>
      <c r="AD14" s="708" t="str">
        <f>IF(County="(choose a county)","Entry Required","")</f>
        <v>Entry Required</v>
      </c>
      <c r="AE14" s="605"/>
      <c r="AF14" s="605"/>
      <c r="AG14" s="605"/>
      <c r="AH14" s="597">
        <f>IF(AD14="",0,1)</f>
        <v>1</v>
      </c>
      <c r="AI14" s="595"/>
      <c r="AJ14" s="595"/>
      <c r="AK14" s="595"/>
      <c r="AL14" s="595"/>
      <c r="AM14" s="595"/>
      <c r="AN14" s="595"/>
      <c r="AO14" s="594"/>
    </row>
    <row r="15" spans="1:41" s="35" customFormat="1" x14ac:dyDescent="0.25">
      <c r="B15" s="453" t="s">
        <v>338</v>
      </c>
      <c r="C15" s="44" t="s">
        <v>2</v>
      </c>
      <c r="I15" s="716"/>
      <c r="J15" s="716"/>
      <c r="K15" s="716"/>
      <c r="L15" s="716"/>
      <c r="M15" s="716"/>
      <c r="N15" s="716"/>
      <c r="O15" s="716"/>
      <c r="P15" s="716"/>
      <c r="Q15" s="716"/>
      <c r="R15" s="716"/>
      <c r="T15" s="90"/>
      <c r="U15" s="91"/>
      <c r="V15" s="92"/>
      <c r="X15" s="753" t="str">
        <f>IF(ISBLANK(Route),"",Route)</f>
        <v/>
      </c>
      <c r="Y15" s="754"/>
      <c r="Z15" s="754"/>
      <c r="AA15" s="754"/>
      <c r="AB15" s="754"/>
      <c r="AC15" s="755"/>
      <c r="AD15" s="708" t="str">
        <f>IF(Route="","Entry Required","")</f>
        <v>Entry Required</v>
      </c>
      <c r="AE15" s="605"/>
      <c r="AF15" s="605"/>
      <c r="AG15" s="605"/>
      <c r="AH15" s="597">
        <f>IF(AD15="",0,1)</f>
        <v>1</v>
      </c>
      <c r="AI15" s="595"/>
      <c r="AJ15" s="595"/>
      <c r="AK15" s="595"/>
      <c r="AL15" s="595"/>
      <c r="AM15" s="595"/>
      <c r="AN15" s="595"/>
      <c r="AO15" s="594"/>
    </row>
    <row r="16" spans="1:41" s="35" customFormat="1" x14ac:dyDescent="0.25">
      <c r="B16" s="453" t="s">
        <v>338</v>
      </c>
      <c r="C16" s="44" t="s">
        <v>3</v>
      </c>
      <c r="I16" s="716"/>
      <c r="J16" s="716"/>
      <c r="K16" s="716"/>
      <c r="L16" s="716"/>
      <c r="M16" s="716"/>
      <c r="N16" s="716"/>
      <c r="O16" s="716"/>
      <c r="P16" s="716"/>
      <c r="Q16" s="716"/>
      <c r="R16" s="716"/>
      <c r="T16" s="90"/>
      <c r="U16" s="91"/>
      <c r="V16" s="92"/>
      <c r="X16" s="753" t="str">
        <f>IF(ISBLANK(Section),"",Section)</f>
        <v/>
      </c>
      <c r="Y16" s="754"/>
      <c r="Z16" s="754"/>
      <c r="AA16" s="754"/>
      <c r="AB16" s="754"/>
      <c r="AC16" s="755"/>
      <c r="AD16" s="708" t="str">
        <f>IF(Section="","Entry Required","")</f>
        <v>Entry Required</v>
      </c>
      <c r="AE16" s="605"/>
      <c r="AF16" s="605"/>
      <c r="AG16" s="605"/>
      <c r="AH16" s="597">
        <f>IF(AD16="",0,1)</f>
        <v>1</v>
      </c>
      <c r="AI16" s="595"/>
      <c r="AJ16" s="595"/>
      <c r="AK16" s="595"/>
      <c r="AL16" s="595"/>
      <c r="AM16" s="595"/>
      <c r="AN16" s="595"/>
      <c r="AO16" s="594"/>
    </row>
    <row r="17" spans="2:41" s="35" customFormat="1" x14ac:dyDescent="0.25">
      <c r="B17" s="453" t="s">
        <v>338</v>
      </c>
      <c r="C17" s="44" t="s">
        <v>1109</v>
      </c>
      <c r="I17" s="720"/>
      <c r="J17" s="720"/>
      <c r="K17" s="720"/>
      <c r="L17" s="720"/>
      <c r="M17" s="720"/>
      <c r="N17" s="720"/>
      <c r="O17" s="720"/>
      <c r="P17" s="720"/>
      <c r="Q17" s="720"/>
      <c r="R17" s="720"/>
      <c r="T17" s="90"/>
      <c r="U17" s="91"/>
      <c r="V17" s="92"/>
      <c r="X17" s="721" t="str">
        <f>IF(ISBLANK(ContractAmount),"",ContractAmount)</f>
        <v/>
      </c>
      <c r="Y17" s="722"/>
      <c r="Z17" s="722"/>
      <c r="AA17" s="722"/>
      <c r="AB17" s="722"/>
      <c r="AC17" s="723"/>
      <c r="AD17" s="708" t="str">
        <f>IF(ContractAmount="","Entry Required","")</f>
        <v>Entry Required</v>
      </c>
      <c r="AE17" s="605"/>
      <c r="AF17" s="605"/>
      <c r="AG17" s="605"/>
      <c r="AH17" s="597">
        <f>IF(AD17="",0,1)</f>
        <v>1</v>
      </c>
      <c r="AI17" s="595"/>
      <c r="AJ17" s="595"/>
      <c r="AK17" s="595"/>
      <c r="AL17" s="595"/>
      <c r="AM17" s="595"/>
      <c r="AN17" s="595"/>
      <c r="AO17" s="594"/>
    </row>
    <row r="18" spans="2:41" s="35" customFormat="1" x14ac:dyDescent="0.25">
      <c r="E18" s="47"/>
      <c r="F18" s="47"/>
      <c r="G18" s="47"/>
      <c r="H18" s="47"/>
      <c r="I18" s="47"/>
      <c r="J18" s="47"/>
      <c r="K18" s="47"/>
      <c r="L18" s="47"/>
      <c r="M18" s="47"/>
      <c r="N18" s="47"/>
      <c r="O18" s="47"/>
      <c r="S18" s="46"/>
      <c r="T18" s="47"/>
      <c r="U18" s="47"/>
      <c r="V18" s="47"/>
      <c r="Z18" s="46"/>
      <c r="AA18" s="47"/>
      <c r="AB18" s="47"/>
      <c r="AC18" s="47"/>
      <c r="AH18" s="597"/>
      <c r="AI18" s="595"/>
      <c r="AJ18" s="595"/>
      <c r="AK18" s="595"/>
      <c r="AL18" s="595"/>
      <c r="AM18" s="595"/>
      <c r="AN18" s="595"/>
      <c r="AO18" s="594"/>
    </row>
    <row r="19" spans="2:41" s="35" customFormat="1" ht="21" x14ac:dyDescent="0.25">
      <c r="B19" s="51" t="s">
        <v>807</v>
      </c>
      <c r="AH19" s="597"/>
      <c r="AI19" s="595"/>
      <c r="AJ19" s="595"/>
      <c r="AK19" s="595"/>
      <c r="AL19" s="595"/>
      <c r="AM19" s="595"/>
      <c r="AN19" s="595"/>
      <c r="AO19" s="594"/>
    </row>
    <row r="20" spans="2:41" s="35" customFormat="1" x14ac:dyDescent="0.25">
      <c r="AH20" s="597"/>
      <c r="AI20" s="595"/>
      <c r="AJ20" s="595"/>
      <c r="AK20" s="595"/>
      <c r="AL20" s="595"/>
      <c r="AM20" s="595"/>
      <c r="AN20" s="595"/>
      <c r="AO20" s="594"/>
    </row>
    <row r="21" spans="2:41" s="35" customFormat="1" x14ac:dyDescent="0.25">
      <c r="C21" t="s">
        <v>4</v>
      </c>
      <c r="E21"/>
      <c r="F21"/>
      <c r="I21" s="90"/>
      <c r="J21" s="91"/>
      <c r="K21" s="91"/>
      <c r="L21" s="91"/>
      <c r="M21" s="91"/>
      <c r="N21" s="91"/>
      <c r="O21" s="91"/>
      <c r="P21" s="91"/>
      <c r="Q21" s="91"/>
      <c r="R21" s="92"/>
      <c r="T21" s="717">
        <f>Updater!B14</f>
        <v>2019</v>
      </c>
      <c r="U21" s="718"/>
      <c r="V21" s="718"/>
      <c r="X21" s="624">
        <f>BaseYear</f>
        <v>2019</v>
      </c>
      <c r="Y21" s="625"/>
      <c r="Z21" s="625"/>
      <c r="AA21" s="625"/>
      <c r="AB21" s="625"/>
      <c r="AC21" s="626"/>
      <c r="AH21" s="597"/>
      <c r="AI21" s="595"/>
      <c r="AJ21" s="595"/>
      <c r="AK21" s="595"/>
      <c r="AL21" s="595"/>
      <c r="AM21" s="595"/>
      <c r="AN21" s="595"/>
      <c r="AO21" s="594"/>
    </row>
    <row r="22" spans="2:41" s="35" customFormat="1" x14ac:dyDescent="0.25">
      <c r="C22" s="35" t="s">
        <v>911</v>
      </c>
      <c r="F22"/>
      <c r="I22" s="756"/>
      <c r="J22" s="756"/>
      <c r="K22" s="756"/>
      <c r="L22" s="756"/>
      <c r="M22" s="756"/>
      <c r="N22" s="756"/>
      <c r="O22" s="756"/>
      <c r="P22" s="756"/>
      <c r="Q22" s="756"/>
      <c r="R22" s="756"/>
      <c r="T22" s="717">
        <f>Updater!F14</f>
        <v>2019</v>
      </c>
      <c r="U22" s="718"/>
      <c r="V22" s="718"/>
      <c r="X22" s="624">
        <f>ConstructionYear</f>
        <v>2019</v>
      </c>
      <c r="Y22" s="625"/>
      <c r="Z22" s="625"/>
      <c r="AA22" s="625"/>
      <c r="AB22" s="625"/>
      <c r="AC22" s="626"/>
      <c r="AD22" s="708" t="str">
        <f>IF(ConstructionYear&lt;BaseYear,"Must be a future year","")</f>
        <v/>
      </c>
      <c r="AE22" s="605"/>
      <c r="AF22" s="605"/>
      <c r="AG22" s="605"/>
      <c r="AH22" s="597">
        <f>IF(AD22="",0,1)</f>
        <v>0</v>
      </c>
      <c r="AI22" s="595"/>
      <c r="AJ22" s="595"/>
      <c r="AK22" s="595"/>
      <c r="AL22" s="595"/>
      <c r="AM22" s="595"/>
      <c r="AN22" s="595"/>
      <c r="AO22" s="594"/>
    </row>
    <row r="23" spans="2:41" s="35" customFormat="1" x14ac:dyDescent="0.25">
      <c r="C23" s="35" t="s">
        <v>808</v>
      </c>
      <c r="F23"/>
      <c r="I23" s="707"/>
      <c r="J23" s="707"/>
      <c r="K23" s="707"/>
      <c r="L23" s="707"/>
      <c r="M23" s="707"/>
      <c r="N23" s="707"/>
      <c r="O23" s="707"/>
      <c r="P23" s="707"/>
      <c r="Q23" s="707"/>
      <c r="R23" s="707"/>
      <c r="T23" s="719">
        <f>Updater!J14</f>
        <v>2.1000000000000001E-2</v>
      </c>
      <c r="U23" s="718"/>
      <c r="V23" s="718"/>
      <c r="X23" s="713">
        <f>InflationYearly</f>
        <v>2.1000000000000001E-2</v>
      </c>
      <c r="Y23" s="714"/>
      <c r="Z23" s="714"/>
      <c r="AA23" s="714"/>
      <c r="AB23" s="714"/>
      <c r="AC23" s="715"/>
      <c r="AH23" s="597"/>
      <c r="AI23" s="595"/>
      <c r="AJ23" s="595"/>
      <c r="AK23" s="595"/>
      <c r="AL23" s="595"/>
      <c r="AM23" s="595"/>
      <c r="AN23" s="595"/>
      <c r="AO23" s="594"/>
    </row>
    <row r="24" spans="2:41" s="35" customFormat="1" x14ac:dyDescent="0.25">
      <c r="B24" s="331"/>
      <c r="C24" s="35" t="s">
        <v>1141</v>
      </c>
      <c r="G24" s="344"/>
      <c r="H24" s="344"/>
      <c r="I24" s="707"/>
      <c r="J24" s="707"/>
      <c r="K24" s="707"/>
      <c r="L24" s="707"/>
      <c r="M24" s="707"/>
      <c r="N24" s="707"/>
      <c r="O24" s="707"/>
      <c r="P24" s="707"/>
      <c r="Q24" s="707"/>
      <c r="R24" s="707"/>
      <c r="T24" s="636" t="s">
        <v>377</v>
      </c>
      <c r="U24" s="637"/>
      <c r="V24" s="638"/>
      <c r="X24" s="713">
        <f>InflationTotal</f>
        <v>0</v>
      </c>
      <c r="Y24" s="714"/>
      <c r="Z24" s="714"/>
      <c r="AA24" s="714"/>
      <c r="AB24" s="714"/>
      <c r="AC24" s="715"/>
      <c r="AH24" s="597"/>
      <c r="AI24" s="595"/>
      <c r="AJ24" s="595"/>
      <c r="AK24" s="595"/>
      <c r="AL24" s="595"/>
      <c r="AM24" s="595"/>
      <c r="AN24" s="595"/>
      <c r="AO24" s="594"/>
    </row>
    <row r="25" spans="2:41" s="35" customFormat="1" x14ac:dyDescent="0.25">
      <c r="AH25" s="597"/>
      <c r="AI25" s="595"/>
      <c r="AJ25" s="595"/>
      <c r="AK25" s="595"/>
      <c r="AL25" s="595"/>
      <c r="AM25" s="595"/>
      <c r="AN25" s="595"/>
      <c r="AO25" s="594"/>
    </row>
    <row r="26" spans="2:41" ht="21" x14ac:dyDescent="0.25">
      <c r="B26" s="51" t="s">
        <v>333</v>
      </c>
      <c r="S26" s="35"/>
      <c r="T26" s="35"/>
      <c r="U26" s="35"/>
      <c r="AH26" s="597"/>
    </row>
    <row r="27" spans="2:41" s="35" customFormat="1" ht="15" customHeight="1" x14ac:dyDescent="0.35">
      <c r="B27" s="43"/>
      <c r="AH27" s="597"/>
      <c r="AI27" s="595"/>
      <c r="AJ27" s="595"/>
      <c r="AK27" s="595"/>
      <c r="AL27" s="595"/>
      <c r="AM27" s="595"/>
      <c r="AN27" s="595"/>
      <c r="AO27" s="594"/>
    </row>
    <row r="28" spans="2:41" x14ac:dyDescent="0.25">
      <c r="B28" s="45" t="s">
        <v>338</v>
      </c>
      <c r="C28" s="44" t="s">
        <v>1136</v>
      </c>
      <c r="H28" s="35"/>
      <c r="I28" s="706" t="s">
        <v>65</v>
      </c>
      <c r="J28" s="706"/>
      <c r="K28" s="706"/>
      <c r="L28" s="706"/>
      <c r="M28" s="706"/>
      <c r="N28" s="706"/>
      <c r="O28" s="706"/>
      <c r="P28" s="706"/>
      <c r="Q28" s="706"/>
      <c r="R28" s="706"/>
      <c r="S28" s="35"/>
      <c r="T28" s="35"/>
      <c r="U28" s="35"/>
      <c r="X28" s="627" t="str">
        <f>Classification</f>
        <v>(choose a classification)</v>
      </c>
      <c r="Y28" s="628"/>
      <c r="Z28" s="628"/>
      <c r="AA28" s="628"/>
      <c r="AB28" s="628"/>
      <c r="AC28" s="629"/>
      <c r="AD28" s="768" t="str">
        <f>IF(Classification="(choose a classification)","Entry Required","")</f>
        <v>Entry Required</v>
      </c>
      <c r="AE28" s="769"/>
      <c r="AF28" s="769"/>
      <c r="AG28" s="769"/>
      <c r="AH28" s="597">
        <f>IF(AD28="",0,1)</f>
        <v>1</v>
      </c>
    </row>
    <row r="29" spans="2:41" s="35" customFormat="1" x14ac:dyDescent="0.25">
      <c r="B29" s="331"/>
      <c r="C29" s="35" t="s">
        <v>804</v>
      </c>
      <c r="I29" s="707"/>
      <c r="J29" s="707"/>
      <c r="K29" s="707"/>
      <c r="L29" s="707"/>
      <c r="M29" s="707"/>
      <c r="N29" s="707"/>
      <c r="O29" s="707"/>
      <c r="P29" s="707"/>
      <c r="Q29" s="707"/>
      <c r="R29" s="707"/>
      <c r="T29" s="703" t="e">
        <f>VLOOKUP(CodeTPG,TableTPG2HCM,12)</f>
        <v>#N/A</v>
      </c>
      <c r="U29" s="704"/>
      <c r="V29" s="705"/>
      <c r="X29" s="624" t="e">
        <f>HCMType</f>
        <v>#N/A</v>
      </c>
      <c r="Y29" s="625"/>
      <c r="Z29" s="625"/>
      <c r="AA29" s="625"/>
      <c r="AB29" s="625"/>
      <c r="AC29" s="626"/>
      <c r="AH29" s="597"/>
      <c r="AI29" s="595"/>
      <c r="AJ29" s="595"/>
      <c r="AK29" s="595"/>
      <c r="AL29" s="595"/>
      <c r="AM29" s="595"/>
      <c r="AN29" s="595"/>
      <c r="AO29" s="594"/>
    </row>
    <row r="30" spans="2:41" x14ac:dyDescent="0.25">
      <c r="C30" t="s">
        <v>7</v>
      </c>
      <c r="H30" s="35"/>
      <c r="I30" s="706" t="s">
        <v>119</v>
      </c>
      <c r="J30" s="706"/>
      <c r="K30" s="706"/>
      <c r="L30" s="706"/>
      <c r="M30" s="706"/>
      <c r="N30" s="706"/>
      <c r="O30" s="706"/>
      <c r="P30" s="706"/>
      <c r="Q30" s="706"/>
      <c r="R30" s="706"/>
      <c r="T30" s="649" t="e">
        <f>HLOOKUP(CodeTPG,TableTerrainDefaults,5+CodeHCM)</f>
        <v>#N/A</v>
      </c>
      <c r="U30" s="650"/>
      <c r="V30" s="651"/>
      <c r="X30" s="624" t="str">
        <f>Terrain</f>
        <v>Level</v>
      </c>
      <c r="Y30" s="625"/>
      <c r="Z30" s="625"/>
      <c r="AA30" s="625"/>
      <c r="AB30" s="625"/>
      <c r="AC30" s="626"/>
      <c r="AH30" s="597"/>
    </row>
    <row r="31" spans="2:41" s="35" customFormat="1" x14ac:dyDescent="0.25">
      <c r="I31" s="46"/>
      <c r="J31" s="47"/>
      <c r="K31" s="47"/>
      <c r="L31" s="47"/>
      <c r="X31" s="66"/>
      <c r="AH31" s="597"/>
      <c r="AI31" s="595"/>
      <c r="AJ31" s="595"/>
      <c r="AK31" s="595"/>
      <c r="AL31" s="595"/>
      <c r="AM31" s="595"/>
      <c r="AN31" s="595"/>
      <c r="AO31" s="594"/>
    </row>
    <row r="32" spans="2:41" s="35" customFormat="1" x14ac:dyDescent="0.25">
      <c r="I32" s="613" t="s">
        <v>19</v>
      </c>
      <c r="J32" s="699"/>
      <c r="K32" s="614"/>
      <c r="L32" s="47"/>
      <c r="M32" s="682" t="s">
        <v>20</v>
      </c>
      <c r="N32" s="700"/>
      <c r="O32" s="683"/>
      <c r="P32" s="682" t="s">
        <v>21</v>
      </c>
      <c r="Q32" s="700"/>
      <c r="R32" s="683"/>
      <c r="T32" s="613" t="s">
        <v>22</v>
      </c>
      <c r="U32" s="699"/>
      <c r="V32" s="614"/>
      <c r="X32" s="613" t="str">
        <f>FirstDirection</f>
        <v>Direction 1</v>
      </c>
      <c r="Y32" s="699"/>
      <c r="Z32" s="614"/>
      <c r="AA32" s="613" t="str">
        <f>SecondDirection</f>
        <v>Direction 2</v>
      </c>
      <c r="AB32" s="699"/>
      <c r="AC32" s="614"/>
      <c r="AD32" s="708" t="str">
        <f>IF(FirstDirection=SecondDirection,"Same Name","")</f>
        <v/>
      </c>
      <c r="AE32" s="605"/>
      <c r="AF32" s="605"/>
      <c r="AG32" s="605"/>
      <c r="AH32" s="597">
        <f>IF(AD32="",0,1)</f>
        <v>0</v>
      </c>
      <c r="AI32" s="595"/>
      <c r="AJ32" s="595"/>
      <c r="AK32" s="595"/>
      <c r="AL32" s="595"/>
      <c r="AM32" s="595"/>
      <c r="AN32" s="595"/>
      <c r="AO32" s="594"/>
    </row>
    <row r="33" spans="2:42" s="35" customFormat="1" x14ac:dyDescent="0.25">
      <c r="I33" s="48"/>
      <c r="J33" s="56"/>
      <c r="K33" s="56"/>
      <c r="L33" s="47"/>
      <c r="AH33" s="597"/>
      <c r="AI33" s="595"/>
      <c r="AJ33" s="595"/>
      <c r="AK33" s="595"/>
      <c r="AL33" s="595"/>
      <c r="AM33" s="595"/>
      <c r="AN33" s="595"/>
      <c r="AO33" s="594"/>
    </row>
    <row r="34" spans="2:42" x14ac:dyDescent="0.25">
      <c r="B34" s="45" t="s">
        <v>338</v>
      </c>
      <c r="C34" s="44" t="s">
        <v>9</v>
      </c>
      <c r="H34" s="37" t="s">
        <v>357</v>
      </c>
      <c r="I34" s="667"/>
      <c r="J34" s="668"/>
      <c r="K34" s="669"/>
      <c r="L34" s="58" t="s">
        <v>343</v>
      </c>
      <c r="M34" s="667"/>
      <c r="N34" s="668"/>
      <c r="O34" s="669"/>
      <c r="P34" s="667"/>
      <c r="Q34" s="668"/>
      <c r="R34" s="669"/>
      <c r="S34" s="35"/>
      <c r="T34" s="90"/>
      <c r="U34" s="91"/>
      <c r="V34" s="92"/>
      <c r="W34" s="35"/>
      <c r="X34" s="615">
        <f>LanesEX1</f>
        <v>0</v>
      </c>
      <c r="Y34" s="616"/>
      <c r="Z34" s="617"/>
      <c r="AA34" s="615">
        <f>LanesEX2</f>
        <v>0</v>
      </c>
      <c r="AB34" s="616"/>
      <c r="AC34" s="617"/>
      <c r="AD34" s="708" t="str">
        <f>IF(AND(ISBLANK(I34),ISBLANK(M34),ISBLANK(P34)),"Entry Required",IF(AND(ISNUMBER(I34),OR(ISNUMBER(M34),ISNUMBER(P34))),"Too Many Entries",IF(SUM(I34,M34,P34)&lt;1,"Must have at least 1 lane","")))</f>
        <v>Entry Required</v>
      </c>
      <c r="AE34" s="605"/>
      <c r="AF34" s="605"/>
      <c r="AG34" s="605"/>
      <c r="AH34" s="597">
        <f>IF(AD34="",0,1)</f>
        <v>1</v>
      </c>
    </row>
    <row r="35" spans="2:42" x14ac:dyDescent="0.25">
      <c r="B35" s="45" t="str">
        <f>IF(CodeClassification=0,"",IF(HCMType&lt;&gt;"Freeway","!",""))</f>
        <v/>
      </c>
      <c r="C35" s="68" t="e">
        <f>IF(HCMType=0,"Base Free-Flow Speed",IF(HCMType="Freeway","Base Free-Flow Speed ","Base Free-Flow Speed  "))</f>
        <v>#N/A</v>
      </c>
      <c r="H35" s="37" t="s">
        <v>170</v>
      </c>
      <c r="I35" s="748"/>
      <c r="J35" s="749"/>
      <c r="K35" s="543"/>
      <c r="L35" s="58" t="s">
        <v>343</v>
      </c>
      <c r="M35" s="748"/>
      <c r="N35" s="749"/>
      <c r="O35" s="543"/>
      <c r="P35" s="748"/>
      <c r="Q35" s="749"/>
      <c r="R35" s="543"/>
      <c r="S35" s="58" t="s">
        <v>343</v>
      </c>
      <c r="T35" s="649" t="e">
        <f>HLOOKUP(CodeTPG,TableFFSDefaults,8+CodeHCM)</f>
        <v>#N/A</v>
      </c>
      <c r="U35" s="650"/>
      <c r="V35" s="651"/>
      <c r="W35" s="35"/>
      <c r="X35" s="624" t="e">
        <f>BFFSex1</f>
        <v>#N/A</v>
      </c>
      <c r="Y35" s="625"/>
      <c r="Z35" s="626"/>
      <c r="AA35" s="624" t="e">
        <f>BFFSex2</f>
        <v>#N/A</v>
      </c>
      <c r="AB35" s="625"/>
      <c r="AC35" s="626"/>
      <c r="AD35" s="606" t="e">
        <f>IF(HCMType="Freeway",IF(AND(ISBLANK(I35),ISBLANK(K35),ISBLANK(M35),ISBLANK(O35),ISBLANK(P35),ISBLANK(R35)),"","Use Free-Flow Speed Override"),IF(AND(OR(ISBLANK(I35),ISBLANK(K35)),OR(ISBLANK(M35),ISBLANK(O35),ISBLANK(P35),ISBLANK(R35))),IF(AND(ISBLANK(I42),OR(ISBLANK(M42),ISBLANK(P42))),"Entry Required",""),""))</f>
        <v>#N/A</v>
      </c>
      <c r="AE35" s="607"/>
      <c r="AF35" s="607"/>
      <c r="AG35" s="607"/>
      <c r="AH35" s="597" t="e">
        <f>IF(AD35="",0,1)</f>
        <v>#N/A</v>
      </c>
    </row>
    <row r="36" spans="2:42" x14ac:dyDescent="0.25">
      <c r="C36" s="68" t="s">
        <v>10</v>
      </c>
      <c r="H36" s="37" t="s">
        <v>91</v>
      </c>
      <c r="I36" s="652"/>
      <c r="J36" s="653"/>
      <c r="K36" s="654"/>
      <c r="L36" s="58" t="s">
        <v>343</v>
      </c>
      <c r="M36" s="652"/>
      <c r="N36" s="653"/>
      <c r="O36" s="654"/>
      <c r="P36" s="652"/>
      <c r="Q36" s="653"/>
      <c r="R36" s="654"/>
      <c r="S36" s="58" t="s">
        <v>343</v>
      </c>
      <c r="T36" s="743" t="e">
        <f>HLOOKUP(CodeTPG,TableWidthDefaults,2+CodeHCM)</f>
        <v>#N/A</v>
      </c>
      <c r="U36" s="744"/>
      <c r="V36" s="745"/>
      <c r="W36" s="35"/>
      <c r="X36" s="687" t="e">
        <f>WidthEX1</f>
        <v>#N/A</v>
      </c>
      <c r="Y36" s="688"/>
      <c r="Z36" s="689"/>
      <c r="AA36" s="687" t="e">
        <f>WidthEX2</f>
        <v>#N/A</v>
      </c>
      <c r="AB36" s="688"/>
      <c r="AC36" s="689"/>
      <c r="AH36" s="597"/>
    </row>
    <row r="37" spans="2:42" x14ac:dyDescent="0.25">
      <c r="C37" s="68" t="s">
        <v>11</v>
      </c>
      <c r="H37" s="37" t="s">
        <v>91</v>
      </c>
      <c r="I37" s="652"/>
      <c r="J37" s="653"/>
      <c r="K37" s="654"/>
      <c r="L37" s="58" t="s">
        <v>343</v>
      </c>
      <c r="M37" s="652"/>
      <c r="N37" s="653"/>
      <c r="O37" s="654"/>
      <c r="P37" s="652"/>
      <c r="Q37" s="653"/>
      <c r="R37" s="654"/>
      <c r="S37" s="58" t="s">
        <v>343</v>
      </c>
      <c r="T37" s="633" t="e">
        <f>HLOOKUP(CodeTPG,TableRSLCDefaults,14+CodeHCM)</f>
        <v>#N/A</v>
      </c>
      <c r="U37" s="634"/>
      <c r="V37" s="635"/>
      <c r="W37" s="35"/>
      <c r="X37" s="624" t="e">
        <f>RSLCex1</f>
        <v>#N/A</v>
      </c>
      <c r="Y37" s="625"/>
      <c r="Z37" s="626"/>
      <c r="AA37" s="624" t="e">
        <f>RSLCex2</f>
        <v>#N/A</v>
      </c>
      <c r="AB37" s="625"/>
      <c r="AC37" s="626"/>
      <c r="AH37" s="597"/>
      <c r="AP37" s="35"/>
    </row>
    <row r="38" spans="2:42" s="35" customFormat="1" x14ac:dyDescent="0.25">
      <c r="C38" s="68" t="e">
        <f>IF(HCMType=0,"Left-Side Lateral Clearance",IF(HCMType="Multilane Highway","Left-Side Lateral Clearance  ","Left-Side Lateral Clearance "))</f>
        <v>#N/A</v>
      </c>
      <c r="H38" s="37" t="s">
        <v>91</v>
      </c>
      <c r="I38" s="652"/>
      <c r="J38" s="653"/>
      <c r="K38" s="654"/>
      <c r="L38" s="58" t="s">
        <v>343</v>
      </c>
      <c r="M38" s="652"/>
      <c r="N38" s="653"/>
      <c r="O38" s="654"/>
      <c r="P38" s="652"/>
      <c r="Q38" s="653"/>
      <c r="R38" s="654"/>
      <c r="S38" s="58" t="s">
        <v>343</v>
      </c>
      <c r="T38" s="633" t="e">
        <f>HLOOKUP(CodeTPG,TableLSLCDefaults,17+CodeHCM)</f>
        <v>#N/A</v>
      </c>
      <c r="U38" s="634"/>
      <c r="V38" s="635"/>
      <c r="X38" s="624" t="e">
        <f>LSLCex1</f>
        <v>#N/A</v>
      </c>
      <c r="Y38" s="625"/>
      <c r="Z38" s="626"/>
      <c r="AA38" s="624" t="e">
        <f>LSLCex2</f>
        <v>#N/A</v>
      </c>
      <c r="AB38" s="625"/>
      <c r="AC38" s="626"/>
      <c r="AH38" s="597"/>
      <c r="AI38" s="595"/>
      <c r="AJ38" s="595"/>
      <c r="AK38" s="595"/>
      <c r="AL38" s="595"/>
      <c r="AM38" s="595"/>
      <c r="AN38" s="595"/>
      <c r="AO38" s="594"/>
    </row>
    <row r="39" spans="2:42" s="35" customFormat="1" x14ac:dyDescent="0.25">
      <c r="C39" s="68" t="e">
        <f>IF(HCMType=0,"Median Type",IF(HCMType="Multilane Highway","Median Type  ","Median Type "))</f>
        <v>#N/A</v>
      </c>
      <c r="H39" s="61" t="s">
        <v>270</v>
      </c>
      <c r="I39" s="750"/>
      <c r="J39" s="751"/>
      <c r="K39" s="752"/>
      <c r="L39" s="58"/>
      <c r="M39" s="90"/>
      <c r="N39" s="91"/>
      <c r="O39" s="91"/>
      <c r="P39" s="91"/>
      <c r="Q39" s="91"/>
      <c r="R39" s="92"/>
      <c r="S39" s="58" t="s">
        <v>343</v>
      </c>
      <c r="T39" s="630" t="e">
        <f>IF(HCMType="Multilane Highway","Divided","-")</f>
        <v>#N/A</v>
      </c>
      <c r="U39" s="631"/>
      <c r="V39" s="632"/>
      <c r="X39" s="627" t="e">
        <f>MedianType</f>
        <v>#N/A</v>
      </c>
      <c r="Y39" s="628"/>
      <c r="Z39" s="629"/>
      <c r="AA39" s="627" t="e">
        <f>MedianType</f>
        <v>#N/A</v>
      </c>
      <c r="AB39" s="628"/>
      <c r="AC39" s="629"/>
      <c r="AH39" s="597"/>
      <c r="AI39" s="595"/>
      <c r="AJ39" s="595"/>
      <c r="AK39" s="595"/>
      <c r="AL39" s="595"/>
      <c r="AM39" s="595"/>
      <c r="AN39" s="595"/>
      <c r="AO39" s="594"/>
    </row>
    <row r="40" spans="2:42" x14ac:dyDescent="0.25">
      <c r="C40" s="68" t="e">
        <f>IF(HCMType=0,"Total Ramp Density",IF(HCMType="Freeway","Total Ramp Density ","Total Ramp Density  "))</f>
        <v>#N/A</v>
      </c>
      <c r="H40" s="60" t="s">
        <v>358</v>
      </c>
      <c r="I40" s="667"/>
      <c r="J40" s="668"/>
      <c r="K40" s="669"/>
      <c r="L40" s="58" t="s">
        <v>343</v>
      </c>
      <c r="M40" s="667"/>
      <c r="N40" s="668"/>
      <c r="O40" s="669"/>
      <c r="P40" s="667"/>
      <c r="Q40" s="668"/>
      <c r="R40" s="669"/>
      <c r="S40" s="58" t="s">
        <v>343</v>
      </c>
      <c r="T40" s="633">
        <v>0</v>
      </c>
      <c r="U40" s="634"/>
      <c r="V40" s="635"/>
      <c r="W40" s="35"/>
      <c r="X40" s="624" t="e">
        <f>TRDentry1</f>
        <v>#N/A</v>
      </c>
      <c r="Y40" s="625"/>
      <c r="Z40" s="626"/>
      <c r="AA40" s="624" t="e">
        <f>TRDentry2</f>
        <v>#N/A</v>
      </c>
      <c r="AB40" s="625"/>
      <c r="AC40" s="626"/>
      <c r="AH40" s="597"/>
    </row>
    <row r="41" spans="2:42" s="35" customFormat="1" x14ac:dyDescent="0.25">
      <c r="C41" s="68" t="e">
        <f>IF(HCMType=0,"Access-Point Density",IF(HCMType&lt;&gt;"Freeway","Access-Point Density  ","Access-Point Density "))</f>
        <v>#N/A</v>
      </c>
      <c r="H41" s="60" t="s">
        <v>507</v>
      </c>
      <c r="I41" s="667"/>
      <c r="J41" s="668"/>
      <c r="K41" s="669"/>
      <c r="L41" s="58" t="s">
        <v>343</v>
      </c>
      <c r="M41" s="667"/>
      <c r="N41" s="668"/>
      <c r="O41" s="669"/>
      <c r="P41" s="667"/>
      <c r="Q41" s="668"/>
      <c r="R41" s="669"/>
      <c r="S41" s="58" t="s">
        <v>343</v>
      </c>
      <c r="T41" s="633" t="e">
        <f>HLOOKUP(CodeTPG,TableAPDDefaults,26+CodeHCM)</f>
        <v>#N/A</v>
      </c>
      <c r="U41" s="634"/>
      <c r="V41" s="635"/>
      <c r="X41" s="624" t="e">
        <f>APDentry1</f>
        <v>#N/A</v>
      </c>
      <c r="Y41" s="625"/>
      <c r="Z41" s="626"/>
      <c r="AA41" s="624" t="e">
        <f>APDentry2</f>
        <v>#N/A</v>
      </c>
      <c r="AB41" s="625"/>
      <c r="AC41" s="626"/>
      <c r="AH41" s="597"/>
      <c r="AI41" s="595"/>
      <c r="AJ41" s="595"/>
      <c r="AK41" s="595"/>
      <c r="AL41" s="595"/>
      <c r="AM41" s="595"/>
      <c r="AN41" s="595"/>
      <c r="AO41" s="594"/>
    </row>
    <row r="42" spans="2:42" s="35" customFormat="1" x14ac:dyDescent="0.25">
      <c r="C42" s="68" t="s">
        <v>379</v>
      </c>
      <c r="H42" s="37" t="s">
        <v>170</v>
      </c>
      <c r="I42" s="670"/>
      <c r="J42" s="671"/>
      <c r="K42" s="672"/>
      <c r="L42" s="58" t="s">
        <v>343</v>
      </c>
      <c r="M42" s="670"/>
      <c r="N42" s="671"/>
      <c r="O42" s="672"/>
      <c r="P42" s="670"/>
      <c r="Q42" s="671"/>
      <c r="R42" s="672"/>
      <c r="S42" s="58" t="s">
        <v>343</v>
      </c>
      <c r="T42" s="636" t="s">
        <v>377</v>
      </c>
      <c r="U42" s="637"/>
      <c r="V42" s="638"/>
      <c r="X42" s="624" t="e">
        <f>exFFS1</f>
        <v>#N/A</v>
      </c>
      <c r="Y42" s="625"/>
      <c r="Z42" s="626"/>
      <c r="AA42" s="624" t="e">
        <f>exFFS2</f>
        <v>#N/A</v>
      </c>
      <c r="AB42" s="625"/>
      <c r="AC42" s="626"/>
      <c r="AD42" s="606" t="str">
        <f>IF(AND(ISBLANK(I35),ISBLANK(K35),ISBLANK(M35),ISBLANK(O35),ISBLANK(P35),ISBLANK(R35)),"",IF(HCMType="Freeway","Enter Speed Here",""))</f>
        <v/>
      </c>
      <c r="AE42" s="607"/>
      <c r="AF42" s="607"/>
      <c r="AG42" s="607"/>
      <c r="AH42" s="597">
        <f>IF(AD42="",0,1)</f>
        <v>0</v>
      </c>
      <c r="AI42" s="595"/>
      <c r="AJ42" s="595"/>
      <c r="AK42" s="595"/>
      <c r="AL42" s="595"/>
      <c r="AM42" s="595"/>
      <c r="AN42" s="595"/>
      <c r="AO42" s="594"/>
    </row>
    <row r="43" spans="2:42" x14ac:dyDescent="0.25">
      <c r="C43" t="s">
        <v>797</v>
      </c>
      <c r="H43" s="37" t="s">
        <v>359</v>
      </c>
      <c r="I43" s="673"/>
      <c r="J43" s="674"/>
      <c r="K43" s="675"/>
      <c r="L43" s="58" t="s">
        <v>343</v>
      </c>
      <c r="M43" s="673"/>
      <c r="N43" s="674"/>
      <c r="O43" s="675"/>
      <c r="P43" s="673"/>
      <c r="Q43" s="674"/>
      <c r="R43" s="675"/>
      <c r="S43" s="58" t="s">
        <v>343</v>
      </c>
      <c r="T43" s="636" t="s">
        <v>377</v>
      </c>
      <c r="U43" s="637"/>
      <c r="V43" s="638"/>
      <c r="W43" s="35"/>
      <c r="X43" s="621" t="e">
        <f>CapacityEx1</f>
        <v>#N/A</v>
      </c>
      <c r="Y43" s="622"/>
      <c r="Z43" s="623"/>
      <c r="AA43" s="621" t="e">
        <f>CapacityEx2</f>
        <v>#N/A</v>
      </c>
      <c r="AB43" s="622"/>
      <c r="AC43" s="623"/>
      <c r="AH43" s="597"/>
    </row>
    <row r="44" spans="2:42" x14ac:dyDescent="0.25">
      <c r="H44" s="35"/>
      <c r="L44" s="35"/>
      <c r="S44" s="35"/>
      <c r="T44" s="35"/>
      <c r="U44" s="35"/>
      <c r="V44" s="35"/>
      <c r="W44" s="35"/>
      <c r="X44" s="35"/>
      <c r="Y44" s="35"/>
      <c r="AH44" s="597"/>
    </row>
    <row r="45" spans="2:42" ht="21" x14ac:dyDescent="0.35">
      <c r="B45" s="43" t="s">
        <v>334</v>
      </c>
      <c r="H45" s="35"/>
      <c r="L45" s="35"/>
      <c r="S45" s="35"/>
      <c r="AH45" s="597"/>
    </row>
    <row r="46" spans="2:42" s="35" customFormat="1" ht="15" customHeight="1" x14ac:dyDescent="0.35">
      <c r="B46" s="43"/>
      <c r="AH46" s="597"/>
      <c r="AI46" s="595"/>
      <c r="AJ46" s="595"/>
      <c r="AK46" s="595"/>
      <c r="AL46" s="595"/>
      <c r="AM46" s="595"/>
      <c r="AN46" s="595"/>
      <c r="AO46" s="594"/>
    </row>
    <row r="47" spans="2:42" x14ac:dyDescent="0.25">
      <c r="B47" s="45" t="s">
        <v>338</v>
      </c>
      <c r="C47" s="44" t="s">
        <v>1158</v>
      </c>
      <c r="H47" s="60" t="s">
        <v>360</v>
      </c>
      <c r="I47" s="757"/>
      <c r="J47" s="758"/>
      <c r="K47" s="759"/>
      <c r="L47" s="58" t="s">
        <v>343</v>
      </c>
      <c r="M47" s="757"/>
      <c r="N47" s="758"/>
      <c r="O47" s="759"/>
      <c r="P47" s="757"/>
      <c r="Q47" s="758"/>
      <c r="R47" s="759"/>
      <c r="S47" s="35"/>
      <c r="T47" s="90"/>
      <c r="U47" s="91"/>
      <c r="V47" s="92"/>
      <c r="W47" s="35"/>
      <c r="X47" s="621">
        <f>ADTexr1</f>
        <v>0</v>
      </c>
      <c r="Y47" s="622"/>
      <c r="Z47" s="623"/>
      <c r="AA47" s="621">
        <f>ADTexr2</f>
        <v>0</v>
      </c>
      <c r="AB47" s="622"/>
      <c r="AC47" s="623"/>
      <c r="AD47" s="708" t="str">
        <f>IF(AND(ISBLANK(I47),ISBLANK(M47),ISBLANK(P47)),"Entry Required","")</f>
        <v>Entry Required</v>
      </c>
      <c r="AE47" s="605"/>
      <c r="AF47" s="605"/>
      <c r="AG47" s="605"/>
      <c r="AH47" s="597">
        <f>IF(AD47="",0,1)</f>
        <v>1</v>
      </c>
    </row>
    <row r="48" spans="2:42" x14ac:dyDescent="0.25">
      <c r="C48" t="s">
        <v>14</v>
      </c>
      <c r="H48" s="37" t="s">
        <v>356</v>
      </c>
      <c r="I48" s="667"/>
      <c r="J48" s="668"/>
      <c r="K48" s="669"/>
      <c r="L48" s="57"/>
      <c r="M48" s="53"/>
      <c r="N48" s="54"/>
      <c r="O48" s="54"/>
      <c r="P48" s="54"/>
      <c r="Q48" s="54"/>
      <c r="R48" s="55"/>
      <c r="S48" s="58" t="s">
        <v>343</v>
      </c>
      <c r="T48" s="763" t="e">
        <f>HLOOKUP(CodeTPG,TableDirDefaults,11+CodeHCM)</f>
        <v>#N/A</v>
      </c>
      <c r="U48" s="764"/>
      <c r="V48" s="765"/>
      <c r="W48" s="35"/>
      <c r="X48" s="713">
        <f>Split1</f>
        <v>1</v>
      </c>
      <c r="Y48" s="714"/>
      <c r="Z48" s="714"/>
      <c r="AA48" s="664">
        <f>Split2</f>
        <v>0</v>
      </c>
      <c r="AB48" s="664"/>
      <c r="AC48" s="664"/>
      <c r="AD48" s="768" t="str">
        <f>IF(ISBLANK(I48),"",IF(AND(ISBLANK(M47),ISBLANK(P47)),"","Directional Volumes Entered"))</f>
        <v/>
      </c>
      <c r="AE48" s="769"/>
      <c r="AF48" s="769"/>
      <c r="AG48" s="769"/>
      <c r="AH48" s="597">
        <f>IF(AD48="",0,1)</f>
        <v>0</v>
      </c>
    </row>
    <row r="49" spans="2:41" s="35" customFormat="1" x14ac:dyDescent="0.25">
      <c r="C49" s="35" t="s">
        <v>500</v>
      </c>
      <c r="H49" s="93" t="s">
        <v>501</v>
      </c>
      <c r="I49" s="652" t="s">
        <v>1097</v>
      </c>
      <c r="J49" s="653"/>
      <c r="K49" s="654"/>
      <c r="L49" s="59" t="s">
        <v>343</v>
      </c>
      <c r="M49" s="760"/>
      <c r="N49" s="761"/>
      <c r="O49" s="761"/>
      <c r="P49" s="761"/>
      <c r="Q49" s="761"/>
      <c r="R49" s="762"/>
      <c r="S49" s="59" t="s">
        <v>343</v>
      </c>
      <c r="T49" s="646" t="e">
        <f>VLOOKUP(CodeMonth,TableMonthly,3+CodeTPG*2)</f>
        <v>#N/A</v>
      </c>
      <c r="U49" s="647"/>
      <c r="V49" s="648"/>
      <c r="X49" s="661" t="e">
        <f>Monthly</f>
        <v>#N/A</v>
      </c>
      <c r="Y49" s="662"/>
      <c r="Z49" s="662"/>
      <c r="AA49" s="662"/>
      <c r="AB49" s="662"/>
      <c r="AC49" s="663"/>
      <c r="AH49" s="597"/>
      <c r="AI49" s="595"/>
      <c r="AJ49" s="595"/>
      <c r="AK49" s="595"/>
      <c r="AL49" s="595"/>
      <c r="AM49" s="595"/>
      <c r="AN49" s="595"/>
      <c r="AO49" s="594"/>
    </row>
    <row r="50" spans="2:41" s="35" customFormat="1" x14ac:dyDescent="0.25">
      <c r="C50" s="35" t="s">
        <v>1159</v>
      </c>
      <c r="H50" s="60" t="s">
        <v>360</v>
      </c>
      <c r="I50" s="90"/>
      <c r="J50" s="91"/>
      <c r="K50" s="92"/>
      <c r="L50" s="59"/>
      <c r="M50" s="53"/>
      <c r="N50" s="54"/>
      <c r="O50" s="54"/>
      <c r="P50" s="54"/>
      <c r="Q50" s="54"/>
      <c r="R50" s="55"/>
      <c r="T50" s="90"/>
      <c r="U50" s="91"/>
      <c r="V50" s="92"/>
      <c r="X50" s="621" t="e">
        <f>ADTex1</f>
        <v>#N/A</v>
      </c>
      <c r="Y50" s="622"/>
      <c r="Z50" s="623"/>
      <c r="AA50" s="621" t="e">
        <f>ADTex2</f>
        <v>#N/A</v>
      </c>
      <c r="AB50" s="622"/>
      <c r="AC50" s="623"/>
      <c r="AH50" s="597"/>
      <c r="AI50" s="595"/>
      <c r="AJ50" s="595"/>
      <c r="AK50" s="595"/>
      <c r="AL50" s="595"/>
      <c r="AM50" s="595"/>
      <c r="AN50" s="595"/>
      <c r="AO50" s="594"/>
    </row>
    <row r="51" spans="2:41" x14ac:dyDescent="0.25">
      <c r="C51" t="s">
        <v>15</v>
      </c>
      <c r="H51" s="37" t="s">
        <v>356</v>
      </c>
      <c r="I51" s="667"/>
      <c r="J51" s="668"/>
      <c r="K51" s="669"/>
      <c r="L51" s="58" t="s">
        <v>343</v>
      </c>
      <c r="M51" s="667"/>
      <c r="N51" s="668"/>
      <c r="O51" s="669"/>
      <c r="P51" s="667"/>
      <c r="Q51" s="668"/>
      <c r="R51" s="669"/>
      <c r="S51" s="58" t="s">
        <v>343</v>
      </c>
      <c r="T51" s="645" t="e">
        <f>HLOOKUP(CodeTPG,TableTruckDefaults,20+CodeHCM)/100</f>
        <v>#N/A</v>
      </c>
      <c r="U51" s="643"/>
      <c r="V51" s="644"/>
      <c r="W51" s="35"/>
      <c r="X51" s="639" t="e">
        <f>pctADTTrk1</f>
        <v>#N/A</v>
      </c>
      <c r="Y51" s="640"/>
      <c r="Z51" s="641"/>
      <c r="AA51" s="639" t="e">
        <f>pctADTTrk2</f>
        <v>#N/A</v>
      </c>
      <c r="AB51" s="640"/>
      <c r="AC51" s="641"/>
      <c r="AD51" s="766"/>
      <c r="AE51" s="767"/>
      <c r="AF51" s="767"/>
      <c r="AG51" s="767"/>
      <c r="AH51" s="597"/>
    </row>
    <row r="52" spans="2:41" x14ac:dyDescent="0.25">
      <c r="D52" t="s">
        <v>17</v>
      </c>
      <c r="H52" s="37" t="s">
        <v>356</v>
      </c>
      <c r="I52" s="670"/>
      <c r="J52" s="671"/>
      <c r="K52" s="672"/>
      <c r="L52" s="58" t="s">
        <v>343</v>
      </c>
      <c r="M52" s="670"/>
      <c r="N52" s="671"/>
      <c r="O52" s="672"/>
      <c r="P52" s="670"/>
      <c r="Q52" s="671"/>
      <c r="R52" s="672"/>
      <c r="S52" s="58" t="s">
        <v>343</v>
      </c>
      <c r="T52" s="642" t="e">
        <f>VLOOKUP(CodeTPG,TableClassification,9)</f>
        <v>#N/A</v>
      </c>
      <c r="U52" s="643"/>
      <c r="V52" s="644"/>
      <c r="W52" s="35"/>
      <c r="X52" s="639" t="e">
        <f>RpctSU1</f>
        <v>#N/A</v>
      </c>
      <c r="Y52" s="640"/>
      <c r="Z52" s="641"/>
      <c r="AA52" s="639" t="e">
        <f>RpctSU2</f>
        <v>#N/A</v>
      </c>
      <c r="AB52" s="640"/>
      <c r="AC52" s="641"/>
      <c r="AD52" s="766" t="str">
        <f>IF(CodeClassification&gt;0,IF(OR(X52+X53&lt;&gt;1,AA52+AA53&lt;&gt;1),"Must equal 100%",""),"")</f>
        <v/>
      </c>
      <c r="AE52" s="767"/>
      <c r="AF52" s="767"/>
      <c r="AG52" s="767"/>
      <c r="AH52" s="597">
        <f>IF(AD52="",0,1)</f>
        <v>0</v>
      </c>
    </row>
    <row r="53" spans="2:41" x14ac:dyDescent="0.25">
      <c r="D53" t="s">
        <v>16</v>
      </c>
      <c r="H53" s="37" t="s">
        <v>356</v>
      </c>
      <c r="I53" s="633" t="str">
        <f>IF(ISBLANK(I52),"",100-I52)</f>
        <v/>
      </c>
      <c r="J53" s="634"/>
      <c r="K53" s="635"/>
      <c r="L53" s="58" t="s">
        <v>343</v>
      </c>
      <c r="M53" s="633" t="str">
        <f>IF(ISBLANK(M52),"",100-M52)</f>
        <v/>
      </c>
      <c r="N53" s="634"/>
      <c r="O53" s="635"/>
      <c r="P53" s="633" t="str">
        <f>IF(ISBLANK(P52),"",100-P52)</f>
        <v/>
      </c>
      <c r="Q53" s="634"/>
      <c r="R53" s="635"/>
      <c r="S53" s="58" t="s">
        <v>343</v>
      </c>
      <c r="T53" s="642" t="e">
        <f>VLOOKUP(CodeTPG,TableClassification,10)</f>
        <v>#N/A</v>
      </c>
      <c r="U53" s="643"/>
      <c r="V53" s="644"/>
      <c r="W53" s="35"/>
      <c r="X53" s="639" t="e">
        <f>RpctCT1</f>
        <v>#N/A</v>
      </c>
      <c r="Y53" s="640"/>
      <c r="Z53" s="641"/>
      <c r="AA53" s="639" t="e">
        <f>RpctCT2</f>
        <v>#N/A</v>
      </c>
      <c r="AB53" s="640"/>
      <c r="AC53" s="641"/>
      <c r="AD53" s="766"/>
      <c r="AE53" s="767"/>
      <c r="AF53" s="767"/>
      <c r="AG53" s="767"/>
      <c r="AH53" s="597"/>
    </row>
    <row r="54" spans="2:41" x14ac:dyDescent="0.25">
      <c r="C54" t="s">
        <v>18</v>
      </c>
      <c r="H54" s="37" t="s">
        <v>356</v>
      </c>
      <c r="I54" s="667"/>
      <c r="J54" s="668"/>
      <c r="K54" s="669"/>
      <c r="L54" s="58" t="s">
        <v>343</v>
      </c>
      <c r="M54" s="667"/>
      <c r="N54" s="668"/>
      <c r="O54" s="669"/>
      <c r="P54" s="667"/>
      <c r="Q54" s="668"/>
      <c r="R54" s="669"/>
      <c r="S54" s="58" t="s">
        <v>343</v>
      </c>
      <c r="T54" s="645">
        <v>0</v>
      </c>
      <c r="U54" s="634"/>
      <c r="V54" s="635"/>
      <c r="W54" s="35"/>
      <c r="X54" s="639">
        <f>pctADTRV1</f>
        <v>0</v>
      </c>
      <c r="Y54" s="640"/>
      <c r="Z54" s="641"/>
      <c r="AA54" s="639">
        <f>pctADTRV2</f>
        <v>0</v>
      </c>
      <c r="AB54" s="640"/>
      <c r="AC54" s="641"/>
      <c r="AH54" s="597"/>
    </row>
    <row r="55" spans="2:41" x14ac:dyDescent="0.25">
      <c r="H55" s="35"/>
      <c r="L55" s="59"/>
      <c r="S55" s="59"/>
      <c r="AH55" s="597"/>
    </row>
    <row r="56" spans="2:41" ht="21" x14ac:dyDescent="0.35">
      <c r="B56" s="43" t="s">
        <v>335</v>
      </c>
      <c r="H56" s="35"/>
      <c r="L56" s="35"/>
      <c r="S56" s="35"/>
      <c r="AH56" s="597"/>
    </row>
    <row r="57" spans="2:41" s="35" customFormat="1" ht="15" customHeight="1" x14ac:dyDescent="0.35">
      <c r="B57" s="43"/>
      <c r="AH57" s="597"/>
      <c r="AI57" s="595"/>
      <c r="AJ57" s="595"/>
      <c r="AK57" s="595"/>
      <c r="AL57" s="595"/>
      <c r="AM57" s="595"/>
      <c r="AN57" s="595"/>
      <c r="AO57" s="594"/>
    </row>
    <row r="58" spans="2:41" x14ac:dyDescent="0.25">
      <c r="B58" s="45" t="s">
        <v>338</v>
      </c>
      <c r="C58" s="44" t="s">
        <v>409</v>
      </c>
      <c r="H58" s="544" t="s">
        <v>89</v>
      </c>
      <c r="I58" s="667"/>
      <c r="J58" s="668"/>
      <c r="K58" s="669"/>
      <c r="L58" s="58" t="s">
        <v>343</v>
      </c>
      <c r="M58" s="667"/>
      <c r="N58" s="668"/>
      <c r="O58" s="669"/>
      <c r="P58" s="667"/>
      <c r="Q58" s="668"/>
      <c r="R58" s="669"/>
      <c r="S58" s="35"/>
      <c r="T58" s="90"/>
      <c r="U58" s="91"/>
      <c r="V58" s="92"/>
      <c r="W58" s="35"/>
      <c r="X58" s="658">
        <f>Length1</f>
        <v>0</v>
      </c>
      <c r="Y58" s="659"/>
      <c r="Z58" s="660"/>
      <c r="AA58" s="658">
        <f>Length2</f>
        <v>0</v>
      </c>
      <c r="AB58" s="659"/>
      <c r="AC58" s="660"/>
      <c r="AD58" s="708" t="str">
        <f>IF(AND(ISBLANK(I58),ISBLANK(M58),ISBLANK(P58)),"Entry Required","")</f>
        <v>Entry Required</v>
      </c>
      <c r="AE58" s="605"/>
      <c r="AF58" s="605"/>
      <c r="AG58" s="605"/>
      <c r="AH58" s="597">
        <f>IF(AD58="",0,1)</f>
        <v>1</v>
      </c>
    </row>
    <row r="59" spans="2:41" x14ac:dyDescent="0.25">
      <c r="B59" s="45" t="s">
        <v>338</v>
      </c>
      <c r="C59" s="44" t="s">
        <v>1245</v>
      </c>
      <c r="H59" s="37" t="s">
        <v>170</v>
      </c>
      <c r="I59" s="748"/>
      <c r="J59" s="749"/>
      <c r="K59" s="581"/>
      <c r="L59" s="58" t="s">
        <v>343</v>
      </c>
      <c r="M59" s="748"/>
      <c r="N59" s="749"/>
      <c r="O59" s="581"/>
      <c r="P59" s="748"/>
      <c r="Q59" s="749"/>
      <c r="R59" s="581"/>
      <c r="S59" s="58"/>
      <c r="T59" s="90"/>
      <c r="U59" s="91"/>
      <c r="V59" s="92"/>
      <c r="W59" s="35"/>
      <c r="X59" s="615">
        <f>wzBFFS1</f>
        <v>0</v>
      </c>
      <c r="Y59" s="616"/>
      <c r="Z59" s="617"/>
      <c r="AA59" s="615">
        <f>wzBFFS2</f>
        <v>0</v>
      </c>
      <c r="AB59" s="616"/>
      <c r="AC59" s="617"/>
      <c r="AD59" s="708" t="str">
        <f>IF(AND(OR(ISBLANK(I59),ISBLANK(K59)),OR(ISBLANK(M59),ISBLANK(O59),ISBLANK(P59),ISBLANK(R59))),"Entry Required","")</f>
        <v>Entry Required</v>
      </c>
      <c r="AE59" s="605"/>
      <c r="AF59" s="605"/>
      <c r="AG59" s="605"/>
      <c r="AH59" s="597">
        <f>IF(AD59="",0,1)</f>
        <v>1</v>
      </c>
    </row>
    <row r="60" spans="2:41" x14ac:dyDescent="0.25">
      <c r="C60" t="s">
        <v>9</v>
      </c>
      <c r="H60" s="37" t="s">
        <v>357</v>
      </c>
      <c r="I60" s="667"/>
      <c r="J60" s="668"/>
      <c r="K60" s="669"/>
      <c r="L60" s="58" t="s">
        <v>343</v>
      </c>
      <c r="M60" s="667"/>
      <c r="N60" s="668"/>
      <c r="O60" s="669"/>
      <c r="P60" s="667"/>
      <c r="Q60" s="668"/>
      <c r="R60" s="669"/>
      <c r="S60" s="58" t="s">
        <v>343</v>
      </c>
      <c r="T60" s="636" t="s">
        <v>378</v>
      </c>
      <c r="U60" s="634"/>
      <c r="V60" s="635"/>
      <c r="W60" s="35"/>
      <c r="X60" s="624" t="e">
        <f>IF(Values!H73="YES","detoured",LanesWZ1)</f>
        <v>#N/A</v>
      </c>
      <c r="Y60" s="625"/>
      <c r="Z60" s="626"/>
      <c r="AA60" s="624" t="e">
        <f>IF(Values!K73="YES","detoured",LanesWZ2)</f>
        <v>#N/A</v>
      </c>
      <c r="AB60" s="625"/>
      <c r="AC60" s="626"/>
      <c r="AH60" s="597"/>
    </row>
    <row r="61" spans="2:41" x14ac:dyDescent="0.25">
      <c r="C61" t="s">
        <v>10</v>
      </c>
      <c r="H61" s="37" t="s">
        <v>91</v>
      </c>
      <c r="I61" s="652"/>
      <c r="J61" s="653"/>
      <c r="K61" s="654"/>
      <c r="L61" s="58" t="s">
        <v>343</v>
      </c>
      <c r="M61" s="652"/>
      <c r="N61" s="653"/>
      <c r="O61" s="654"/>
      <c r="P61" s="652"/>
      <c r="Q61" s="653"/>
      <c r="R61" s="654"/>
      <c r="S61" s="58" t="s">
        <v>343</v>
      </c>
      <c r="T61" s="636" t="s">
        <v>378</v>
      </c>
      <c r="U61" s="634"/>
      <c r="V61" s="635"/>
      <c r="W61" s="35"/>
      <c r="X61" s="687" t="e">
        <f>WidthWZ1</f>
        <v>#N/A</v>
      </c>
      <c r="Y61" s="688"/>
      <c r="Z61" s="689"/>
      <c r="AA61" s="687" t="e">
        <f>WidthWZ2</f>
        <v>#N/A</v>
      </c>
      <c r="AB61" s="688"/>
      <c r="AC61" s="689"/>
      <c r="AH61" s="597"/>
    </row>
    <row r="62" spans="2:41" s="568" customFormat="1" x14ac:dyDescent="0.25">
      <c r="C62" s="568" t="s">
        <v>11</v>
      </c>
      <c r="H62" s="37" t="s">
        <v>91</v>
      </c>
      <c r="I62" s="652"/>
      <c r="J62" s="653"/>
      <c r="K62" s="654"/>
      <c r="L62" s="58" t="s">
        <v>343</v>
      </c>
      <c r="M62" s="652"/>
      <c r="N62" s="653"/>
      <c r="O62" s="654"/>
      <c r="P62" s="652"/>
      <c r="Q62" s="653"/>
      <c r="R62" s="654"/>
      <c r="S62" s="58" t="s">
        <v>343</v>
      </c>
      <c r="T62" s="636" t="s">
        <v>378</v>
      </c>
      <c r="U62" s="634"/>
      <c r="V62" s="635"/>
      <c r="X62" s="624" t="e">
        <f>RSLCwz1</f>
        <v>#N/A</v>
      </c>
      <c r="Y62" s="625"/>
      <c r="Z62" s="626"/>
      <c r="AA62" s="624" t="e">
        <f>RSLCwz2</f>
        <v>#N/A</v>
      </c>
      <c r="AB62" s="625"/>
      <c r="AC62" s="626"/>
      <c r="AH62" s="597"/>
      <c r="AI62" s="595"/>
      <c r="AJ62" s="595"/>
      <c r="AK62" s="595"/>
      <c r="AL62" s="595"/>
      <c r="AM62" s="595"/>
      <c r="AN62" s="595"/>
      <c r="AO62" s="594"/>
    </row>
    <row r="63" spans="2:41" s="568" customFormat="1" x14ac:dyDescent="0.25">
      <c r="C63" s="568" t="s">
        <v>466</v>
      </c>
      <c r="H63" s="37" t="s">
        <v>91</v>
      </c>
      <c r="I63" s="652"/>
      <c r="J63" s="653"/>
      <c r="K63" s="654"/>
      <c r="L63" s="58" t="s">
        <v>343</v>
      </c>
      <c r="M63" s="652"/>
      <c r="N63" s="653"/>
      <c r="O63" s="654"/>
      <c r="P63" s="652"/>
      <c r="Q63" s="653"/>
      <c r="R63" s="654"/>
      <c r="S63" s="58" t="s">
        <v>343</v>
      </c>
      <c r="T63" s="636" t="s">
        <v>1246</v>
      </c>
      <c r="U63" s="637"/>
      <c r="V63" s="638"/>
      <c r="X63" s="624" t="e">
        <f>LSLCwz1</f>
        <v>#N/A</v>
      </c>
      <c r="Y63" s="625"/>
      <c r="Z63" s="626"/>
      <c r="AA63" s="624" t="e">
        <f>LSLCwz2</f>
        <v>#N/A</v>
      </c>
      <c r="AB63" s="625"/>
      <c r="AC63" s="626"/>
      <c r="AH63" s="597"/>
      <c r="AI63" s="595"/>
      <c r="AJ63" s="595"/>
      <c r="AK63" s="595"/>
      <c r="AL63" s="595"/>
      <c r="AM63" s="595"/>
      <c r="AN63" s="595"/>
      <c r="AO63" s="594"/>
    </row>
    <row r="64" spans="2:41" s="568" customFormat="1" x14ac:dyDescent="0.25">
      <c r="C64" s="568" t="s">
        <v>1219</v>
      </c>
      <c r="H64" s="61" t="s">
        <v>270</v>
      </c>
      <c r="I64" s="652"/>
      <c r="J64" s="653"/>
      <c r="K64" s="654"/>
      <c r="L64" s="58" t="s">
        <v>343</v>
      </c>
      <c r="M64" s="652"/>
      <c r="N64" s="653"/>
      <c r="O64" s="654"/>
      <c r="P64" s="652"/>
      <c r="Q64" s="653"/>
      <c r="R64" s="654"/>
      <c r="S64" s="58" t="s">
        <v>343</v>
      </c>
      <c r="T64" s="633" t="s">
        <v>1222</v>
      </c>
      <c r="U64" s="634"/>
      <c r="V64" s="635"/>
      <c r="X64" s="618" t="str">
        <f>Intensity1</f>
        <v>LOW</v>
      </c>
      <c r="Y64" s="619"/>
      <c r="Z64" s="620"/>
      <c r="AA64" s="618" t="str">
        <f>Intensity2</f>
        <v>LOW</v>
      </c>
      <c r="AB64" s="619"/>
      <c r="AC64" s="620"/>
      <c r="AH64" s="597"/>
      <c r="AI64" s="595"/>
      <c r="AJ64" s="595"/>
      <c r="AK64" s="595"/>
      <c r="AL64" s="595"/>
      <c r="AM64" s="595"/>
      <c r="AN64" s="595"/>
      <c r="AO64" s="594"/>
    </row>
    <row r="65" spans="2:41" x14ac:dyDescent="0.25">
      <c r="C65" t="s">
        <v>24</v>
      </c>
      <c r="H65" s="61" t="s">
        <v>270</v>
      </c>
      <c r="I65" s="684"/>
      <c r="J65" s="685"/>
      <c r="K65" s="686"/>
      <c r="L65" s="58" t="s">
        <v>343</v>
      </c>
      <c r="M65" s="684"/>
      <c r="N65" s="685"/>
      <c r="O65" s="686"/>
      <c r="P65" s="684"/>
      <c r="Q65" s="685"/>
      <c r="R65" s="686"/>
      <c r="S65" s="58" t="s">
        <v>343</v>
      </c>
      <c r="T65" s="693" t="s">
        <v>100</v>
      </c>
      <c r="U65" s="694"/>
      <c r="V65" s="695"/>
      <c r="W65" s="35"/>
      <c r="X65" s="618" t="str">
        <f>TimeStart1</f>
        <v>All Day</v>
      </c>
      <c r="Y65" s="619"/>
      <c r="Z65" s="620"/>
      <c r="AA65" s="618" t="str">
        <f>TimeStart2</f>
        <v>All Day</v>
      </c>
      <c r="AB65" s="619"/>
      <c r="AC65" s="620"/>
      <c r="AD65" s="606"/>
      <c r="AE65" s="607"/>
      <c r="AF65" s="607"/>
      <c r="AG65" s="607"/>
      <c r="AH65" s="597"/>
    </row>
    <row r="66" spans="2:41" x14ac:dyDescent="0.25">
      <c r="C66" t="s">
        <v>25</v>
      </c>
      <c r="H66" s="61" t="s">
        <v>270</v>
      </c>
      <c r="I66" s="684"/>
      <c r="J66" s="685"/>
      <c r="K66" s="686"/>
      <c r="L66" s="58" t="s">
        <v>343</v>
      </c>
      <c r="M66" s="684"/>
      <c r="N66" s="685"/>
      <c r="O66" s="686"/>
      <c r="P66" s="684"/>
      <c r="Q66" s="685"/>
      <c r="R66" s="686"/>
      <c r="S66" s="58" t="s">
        <v>343</v>
      </c>
      <c r="T66" s="693" t="s">
        <v>100</v>
      </c>
      <c r="U66" s="694"/>
      <c r="V66" s="695"/>
      <c r="W66" s="35"/>
      <c r="X66" s="618" t="str">
        <f>TimeEnd1</f>
        <v>All Day</v>
      </c>
      <c r="Y66" s="619"/>
      <c r="Z66" s="620"/>
      <c r="AA66" s="618" t="str">
        <f>TimeEnd2</f>
        <v>All Day</v>
      </c>
      <c r="AB66" s="619"/>
      <c r="AC66" s="620"/>
      <c r="AD66" s="606"/>
      <c r="AE66" s="607"/>
      <c r="AF66" s="607"/>
      <c r="AG66" s="607"/>
      <c r="AH66" s="597"/>
    </row>
    <row r="67" spans="2:41" s="35" customFormat="1" x14ac:dyDescent="0.25">
      <c r="C67" s="35" t="s">
        <v>520</v>
      </c>
      <c r="H67" s="61" t="s">
        <v>521</v>
      </c>
      <c r="I67" s="667"/>
      <c r="J67" s="668"/>
      <c r="K67" s="669"/>
      <c r="L67" s="58" t="s">
        <v>343</v>
      </c>
      <c r="M67" s="667"/>
      <c r="N67" s="668"/>
      <c r="O67" s="669"/>
      <c r="P67" s="667"/>
      <c r="Q67" s="668"/>
      <c r="R67" s="669"/>
      <c r="S67" s="58" t="s">
        <v>343</v>
      </c>
      <c r="T67" s="608">
        <v>1</v>
      </c>
      <c r="U67" s="609"/>
      <c r="V67" s="610"/>
      <c r="X67" s="624">
        <f>Duration1</f>
        <v>1</v>
      </c>
      <c r="Y67" s="625"/>
      <c r="Z67" s="626"/>
      <c r="AA67" s="624">
        <f>Duration2</f>
        <v>1</v>
      </c>
      <c r="AB67" s="625"/>
      <c r="AC67" s="626"/>
      <c r="AH67" s="597"/>
      <c r="AI67" s="595"/>
      <c r="AJ67" s="595"/>
      <c r="AK67" s="595"/>
      <c r="AL67" s="595"/>
      <c r="AM67" s="595"/>
      <c r="AN67" s="595"/>
      <c r="AO67" s="594"/>
    </row>
    <row r="68" spans="2:41" s="568" customFormat="1" x14ac:dyDescent="0.25">
      <c r="C68" s="568" t="s">
        <v>1226</v>
      </c>
      <c r="H68" s="37" t="s">
        <v>170</v>
      </c>
      <c r="I68" s="670"/>
      <c r="J68" s="671"/>
      <c r="K68" s="672"/>
      <c r="L68" s="58" t="s">
        <v>343</v>
      </c>
      <c r="M68" s="670"/>
      <c r="N68" s="671"/>
      <c r="O68" s="672"/>
      <c r="P68" s="670"/>
      <c r="Q68" s="671"/>
      <c r="R68" s="672"/>
      <c r="S68" s="58" t="s">
        <v>343</v>
      </c>
      <c r="T68" s="636" t="s">
        <v>377</v>
      </c>
      <c r="U68" s="637"/>
      <c r="V68" s="638"/>
      <c r="X68" s="624" t="e">
        <f>wzFFS1</f>
        <v>#N/A</v>
      </c>
      <c r="Y68" s="625"/>
      <c r="Z68" s="626"/>
      <c r="AA68" s="624" t="e">
        <f>wzFFS2</f>
        <v>#N/A</v>
      </c>
      <c r="AB68" s="625"/>
      <c r="AC68" s="626"/>
      <c r="AH68" s="597"/>
      <c r="AI68" s="595"/>
      <c r="AJ68" s="595"/>
      <c r="AK68" s="595"/>
      <c r="AL68" s="595"/>
      <c r="AM68" s="595"/>
      <c r="AN68" s="595"/>
      <c r="AO68" s="594"/>
    </row>
    <row r="69" spans="2:41" x14ac:dyDescent="0.25">
      <c r="C69" t="s">
        <v>26</v>
      </c>
      <c r="H69" s="37" t="s">
        <v>359</v>
      </c>
      <c r="I69" s="673"/>
      <c r="J69" s="674"/>
      <c r="K69" s="675"/>
      <c r="L69" s="58" t="s">
        <v>343</v>
      </c>
      <c r="M69" s="673"/>
      <c r="N69" s="674"/>
      <c r="O69" s="675"/>
      <c r="P69" s="673"/>
      <c r="Q69" s="674"/>
      <c r="R69" s="675"/>
      <c r="S69" s="58" t="s">
        <v>343</v>
      </c>
      <c r="T69" s="636" t="s">
        <v>377</v>
      </c>
      <c r="U69" s="637"/>
      <c r="V69" s="638"/>
      <c r="W69" s="35"/>
      <c r="X69" s="621" t="e">
        <f>WZCapBase1</f>
        <v>#N/A</v>
      </c>
      <c r="Y69" s="622"/>
      <c r="Z69" s="623"/>
      <c r="AA69" s="621" t="e">
        <f>WZCapBase2</f>
        <v>#N/A</v>
      </c>
      <c r="AB69" s="622"/>
      <c r="AC69" s="623"/>
      <c r="AH69" s="597"/>
    </row>
    <row r="70" spans="2:41" s="35" customFormat="1" x14ac:dyDescent="0.25">
      <c r="L70" s="59"/>
      <c r="S70" s="59"/>
      <c r="AH70" s="597"/>
      <c r="AI70" s="595"/>
      <c r="AJ70" s="595"/>
      <c r="AK70" s="595"/>
      <c r="AL70" s="595"/>
      <c r="AM70" s="595"/>
      <c r="AN70" s="595"/>
      <c r="AO70" s="594"/>
    </row>
    <row r="71" spans="2:41" s="35" customFormat="1" ht="21" x14ac:dyDescent="0.35">
      <c r="B71" s="43" t="s">
        <v>999</v>
      </c>
      <c r="AH71" s="597"/>
      <c r="AI71" s="595"/>
      <c r="AJ71" s="595"/>
      <c r="AK71" s="595"/>
      <c r="AL71" s="595"/>
      <c r="AM71" s="595"/>
      <c r="AN71" s="595"/>
      <c r="AO71" s="594"/>
    </row>
    <row r="72" spans="2:41" s="35" customFormat="1" ht="15" customHeight="1" x14ac:dyDescent="0.35">
      <c r="B72" s="43"/>
      <c r="T72" s="46"/>
      <c r="AH72" s="597"/>
      <c r="AI72" s="595"/>
      <c r="AJ72" s="595"/>
      <c r="AK72" s="595"/>
      <c r="AL72" s="595"/>
      <c r="AM72" s="595"/>
      <c r="AN72" s="595"/>
      <c r="AO72" s="594"/>
    </row>
    <row r="73" spans="2:41" x14ac:dyDescent="0.25">
      <c r="C73" t="s">
        <v>1139</v>
      </c>
      <c r="H73" s="37" t="s">
        <v>342</v>
      </c>
      <c r="I73" s="667"/>
      <c r="J73" s="668"/>
      <c r="K73" s="669"/>
      <c r="L73" s="58"/>
      <c r="M73" s="90"/>
      <c r="N73" s="91"/>
      <c r="O73" s="91"/>
      <c r="P73" s="91"/>
      <c r="Q73" s="91"/>
      <c r="R73" s="92"/>
      <c r="S73" s="58" t="s">
        <v>343</v>
      </c>
      <c r="T73" s="636" t="s">
        <v>1000</v>
      </c>
      <c r="U73" s="637"/>
      <c r="V73" s="638"/>
      <c r="W73" s="35"/>
      <c r="X73" s="655" t="str">
        <f>Cycle</f>
        <v>none</v>
      </c>
      <c r="Y73" s="656"/>
      <c r="Z73" s="656"/>
      <c r="AA73" s="656"/>
      <c r="AB73" s="656"/>
      <c r="AC73" s="657"/>
      <c r="AH73" s="597"/>
    </row>
    <row r="74" spans="2:41" x14ac:dyDescent="0.25">
      <c r="H74" s="35"/>
      <c r="L74" s="35"/>
      <c r="S74" s="35"/>
      <c r="AH74" s="597"/>
    </row>
    <row r="75" spans="2:41" ht="21" x14ac:dyDescent="0.35">
      <c r="B75" s="43" t="s">
        <v>337</v>
      </c>
      <c r="C75" s="43"/>
      <c r="H75" s="35"/>
      <c r="L75" s="35"/>
      <c r="S75" s="35"/>
      <c r="AH75" s="597"/>
    </row>
    <row r="76" spans="2:41" s="35" customFormat="1" ht="15" customHeight="1" x14ac:dyDescent="0.35">
      <c r="B76" s="420" t="s">
        <v>1151</v>
      </c>
      <c r="C76" s="43"/>
      <c r="AH76" s="597"/>
      <c r="AI76" s="595"/>
      <c r="AJ76" s="595"/>
      <c r="AK76" s="595"/>
      <c r="AL76" s="595"/>
      <c r="AM76" s="595"/>
      <c r="AN76" s="595"/>
      <c r="AO76" s="594"/>
    </row>
    <row r="77" spans="2:41" s="35" customFormat="1" ht="15" customHeight="1" x14ac:dyDescent="0.35">
      <c r="B77" s="43"/>
      <c r="C77" s="43"/>
      <c r="AH77" s="597"/>
      <c r="AI77" s="595"/>
      <c r="AJ77" s="595"/>
      <c r="AK77" s="595"/>
      <c r="AL77" s="595"/>
      <c r="AM77" s="595"/>
      <c r="AN77" s="595"/>
      <c r="AO77" s="594"/>
    </row>
    <row r="78" spans="2:41" s="7" customFormat="1" x14ac:dyDescent="0.25">
      <c r="C78" s="7" t="s">
        <v>160</v>
      </c>
      <c r="H78" s="37" t="s">
        <v>342</v>
      </c>
      <c r="I78" s="667"/>
      <c r="J78" s="668"/>
      <c r="K78" s="669"/>
      <c r="L78" s="58" t="s">
        <v>343</v>
      </c>
      <c r="M78" s="667"/>
      <c r="N78" s="668"/>
      <c r="O78" s="669"/>
      <c r="P78" s="667"/>
      <c r="Q78" s="668"/>
      <c r="R78" s="669"/>
      <c r="S78" s="35"/>
      <c r="T78" s="608">
        <v>0</v>
      </c>
      <c r="U78" s="609"/>
      <c r="V78" s="610"/>
      <c r="W78" s="35"/>
      <c r="X78" s="90"/>
      <c r="Y78" s="91"/>
      <c r="Z78" s="91"/>
      <c r="AA78" s="91"/>
      <c r="AB78" s="91"/>
      <c r="AC78" s="92"/>
      <c r="AH78" s="597"/>
      <c r="AI78" s="595"/>
      <c r="AJ78" s="595"/>
      <c r="AK78" s="595"/>
      <c r="AL78" s="595"/>
      <c r="AM78" s="595"/>
      <c r="AN78" s="595"/>
      <c r="AO78" s="594"/>
    </row>
    <row r="79" spans="2:41" s="7" customFormat="1" x14ac:dyDescent="0.25">
      <c r="D79" s="7" t="s">
        <v>27</v>
      </c>
      <c r="H79" s="37" t="s">
        <v>342</v>
      </c>
      <c r="I79" s="670"/>
      <c r="J79" s="671"/>
      <c r="K79" s="672"/>
      <c r="L79" s="58" t="s">
        <v>343</v>
      </c>
      <c r="M79" s="670"/>
      <c r="N79" s="671"/>
      <c r="O79" s="672"/>
      <c r="P79" s="670"/>
      <c r="Q79" s="671"/>
      <c r="R79" s="672"/>
      <c r="S79" s="35"/>
      <c r="T79" s="608">
        <v>0</v>
      </c>
      <c r="U79" s="609"/>
      <c r="V79" s="610"/>
      <c r="W79" s="35"/>
      <c r="X79" s="615">
        <f>AddDelPC1</f>
        <v>0</v>
      </c>
      <c r="Y79" s="616"/>
      <c r="Z79" s="617"/>
      <c r="AA79" s="615">
        <f>AddDelPC2</f>
        <v>0</v>
      </c>
      <c r="AB79" s="616"/>
      <c r="AC79" s="617"/>
      <c r="AH79" s="597"/>
      <c r="AI79" s="595"/>
      <c r="AJ79" s="595"/>
      <c r="AK79" s="595"/>
      <c r="AL79" s="595"/>
      <c r="AM79" s="595"/>
      <c r="AN79" s="595"/>
      <c r="AO79" s="594"/>
    </row>
    <row r="80" spans="2:41" s="7" customFormat="1" x14ac:dyDescent="0.25">
      <c r="D80" s="35" t="s">
        <v>29</v>
      </c>
      <c r="H80" s="37" t="s">
        <v>342</v>
      </c>
      <c r="I80" s="670"/>
      <c r="J80" s="671"/>
      <c r="K80" s="672"/>
      <c r="L80" s="58" t="s">
        <v>343</v>
      </c>
      <c r="M80" s="670"/>
      <c r="N80" s="671"/>
      <c r="O80" s="672"/>
      <c r="P80" s="670"/>
      <c r="Q80" s="671"/>
      <c r="R80" s="672"/>
      <c r="S80" s="35"/>
      <c r="T80" s="608">
        <v>0</v>
      </c>
      <c r="U80" s="609"/>
      <c r="V80" s="610"/>
      <c r="W80" s="35"/>
      <c r="X80" s="615">
        <f>AddDelSU1</f>
        <v>0</v>
      </c>
      <c r="Y80" s="616"/>
      <c r="Z80" s="617"/>
      <c r="AA80" s="615">
        <f>AddDelSU2</f>
        <v>0</v>
      </c>
      <c r="AB80" s="616"/>
      <c r="AC80" s="617"/>
      <c r="AH80" s="597"/>
      <c r="AI80" s="595"/>
      <c r="AJ80" s="595"/>
      <c r="AK80" s="595"/>
      <c r="AL80" s="595"/>
      <c r="AM80" s="595"/>
      <c r="AN80" s="595"/>
      <c r="AO80" s="594"/>
    </row>
    <row r="81" spans="2:41" s="7" customFormat="1" x14ac:dyDescent="0.25">
      <c r="D81" s="35" t="s">
        <v>30</v>
      </c>
      <c r="H81" s="37" t="s">
        <v>342</v>
      </c>
      <c r="I81" s="670"/>
      <c r="J81" s="671"/>
      <c r="K81" s="672"/>
      <c r="L81" s="58" t="s">
        <v>343</v>
      </c>
      <c r="M81" s="670"/>
      <c r="N81" s="671"/>
      <c r="O81" s="672"/>
      <c r="P81" s="670"/>
      <c r="Q81" s="671"/>
      <c r="R81" s="672"/>
      <c r="S81" s="35"/>
      <c r="T81" s="608">
        <v>0</v>
      </c>
      <c r="U81" s="609"/>
      <c r="V81" s="610"/>
      <c r="W81" s="35"/>
      <c r="X81" s="615">
        <f>AddDelCT1</f>
        <v>0</v>
      </c>
      <c r="Y81" s="616"/>
      <c r="Z81" s="617"/>
      <c r="AA81" s="615">
        <f>AddDelCT2</f>
        <v>0</v>
      </c>
      <c r="AB81" s="616"/>
      <c r="AC81" s="617"/>
      <c r="AH81" s="597"/>
      <c r="AI81" s="595"/>
      <c r="AJ81" s="595"/>
      <c r="AK81" s="595"/>
      <c r="AL81" s="595"/>
      <c r="AM81" s="595"/>
      <c r="AN81" s="595"/>
      <c r="AO81" s="594"/>
    </row>
    <row r="82" spans="2:41" s="7" customFormat="1" x14ac:dyDescent="0.25">
      <c r="D82" s="35" t="s">
        <v>28</v>
      </c>
      <c r="H82" s="37" t="s">
        <v>342</v>
      </c>
      <c r="I82" s="670"/>
      <c r="J82" s="671"/>
      <c r="K82" s="672"/>
      <c r="L82" s="58" t="s">
        <v>343</v>
      </c>
      <c r="M82" s="670"/>
      <c r="N82" s="671"/>
      <c r="O82" s="672"/>
      <c r="P82" s="670"/>
      <c r="Q82" s="671"/>
      <c r="R82" s="672"/>
      <c r="S82" s="35"/>
      <c r="T82" s="608">
        <v>0</v>
      </c>
      <c r="U82" s="609"/>
      <c r="V82" s="610"/>
      <c r="W82" s="35"/>
      <c r="X82" s="615">
        <f>AddDelRV1</f>
        <v>0</v>
      </c>
      <c r="Y82" s="616"/>
      <c r="Z82" s="617"/>
      <c r="AA82" s="615">
        <f>AddDelRV2</f>
        <v>0</v>
      </c>
      <c r="AB82" s="616"/>
      <c r="AC82" s="617"/>
      <c r="AH82" s="597"/>
      <c r="AI82" s="595"/>
      <c r="AJ82" s="595"/>
      <c r="AK82" s="595"/>
      <c r="AL82" s="595"/>
      <c r="AM82" s="595"/>
      <c r="AN82" s="595"/>
      <c r="AO82" s="594"/>
    </row>
    <row r="83" spans="2:41" x14ac:dyDescent="0.25">
      <c r="D83" s="35"/>
      <c r="H83" s="35"/>
      <c r="L83" s="35"/>
      <c r="S83" s="35"/>
      <c r="AH83" s="597"/>
    </row>
    <row r="84" spans="2:41" ht="21" x14ac:dyDescent="0.35">
      <c r="B84" s="43" t="s">
        <v>336</v>
      </c>
      <c r="H84" s="35"/>
      <c r="L84" s="35"/>
      <c r="S84" s="35"/>
      <c r="AH84" s="597"/>
    </row>
    <row r="85" spans="2:41" s="35" customFormat="1" ht="15" customHeight="1" x14ac:dyDescent="0.35">
      <c r="B85" s="43"/>
      <c r="AH85" s="597"/>
      <c r="AI85" s="595"/>
      <c r="AJ85" s="595"/>
      <c r="AK85" s="595"/>
      <c r="AL85" s="595"/>
      <c r="AM85" s="595"/>
      <c r="AN85" s="595"/>
      <c r="AO85" s="594"/>
    </row>
    <row r="86" spans="2:41" s="35" customFormat="1" ht="15" customHeight="1" x14ac:dyDescent="0.35">
      <c r="B86" s="43"/>
      <c r="C86" s="682" t="s">
        <v>340</v>
      </c>
      <c r="D86" s="700"/>
      <c r="E86" s="700"/>
      <c r="F86" s="700"/>
      <c r="G86" s="683"/>
      <c r="H86" s="46"/>
      <c r="AH86" s="597"/>
      <c r="AI86" s="595"/>
      <c r="AJ86" s="595"/>
      <c r="AK86" s="595"/>
      <c r="AL86" s="595"/>
      <c r="AM86" s="595"/>
      <c r="AN86" s="595"/>
      <c r="AO86" s="594"/>
    </row>
    <row r="87" spans="2:41" s="35" customFormat="1" ht="15" customHeight="1" x14ac:dyDescent="0.35">
      <c r="B87" s="43"/>
      <c r="C87" s="46"/>
      <c r="D87" s="46"/>
      <c r="E87" s="46"/>
      <c r="F87" s="46"/>
      <c r="G87" s="46"/>
      <c r="H87" s="46"/>
      <c r="AH87" s="597"/>
      <c r="AI87" s="595"/>
      <c r="AJ87" s="595"/>
      <c r="AK87" s="595"/>
      <c r="AL87" s="595"/>
      <c r="AM87" s="595"/>
      <c r="AN87" s="595"/>
      <c r="AO87" s="594"/>
    </row>
    <row r="88" spans="2:41" x14ac:dyDescent="0.25">
      <c r="G88" s="459" t="s">
        <v>535</v>
      </c>
      <c r="H88" s="37" t="s">
        <v>356</v>
      </c>
      <c r="I88" s="667"/>
      <c r="J88" s="668"/>
      <c r="K88" s="669"/>
      <c r="L88" s="58" t="s">
        <v>343</v>
      </c>
      <c r="M88" s="667"/>
      <c r="N88" s="668"/>
      <c r="O88" s="669"/>
      <c r="P88" s="667"/>
      <c r="Q88" s="668"/>
      <c r="R88" s="669"/>
      <c r="S88" s="35"/>
      <c r="T88" s="608">
        <v>0</v>
      </c>
      <c r="U88" s="609"/>
      <c r="V88" s="610"/>
      <c r="W88" s="35"/>
      <c r="X88" s="90"/>
      <c r="Y88" s="91"/>
      <c r="Z88" s="91"/>
      <c r="AA88" s="91"/>
      <c r="AB88" s="91"/>
      <c r="AC88" s="92"/>
      <c r="AH88" s="597">
        <f>IF(AD88="",0,1)</f>
        <v>0</v>
      </c>
    </row>
    <row r="89" spans="2:41" x14ac:dyDescent="0.25">
      <c r="D89" t="s">
        <v>27</v>
      </c>
      <c r="E89" s="1"/>
      <c r="F89" s="1"/>
      <c r="G89" s="1"/>
      <c r="H89" s="37" t="s">
        <v>356</v>
      </c>
      <c r="I89" s="670"/>
      <c r="J89" s="671"/>
      <c r="K89" s="672"/>
      <c r="L89" s="58" t="s">
        <v>343</v>
      </c>
      <c r="M89" s="670"/>
      <c r="N89" s="671"/>
      <c r="O89" s="672"/>
      <c r="P89" s="670"/>
      <c r="Q89" s="671"/>
      <c r="R89" s="672"/>
      <c r="S89" s="35"/>
      <c r="T89" s="608">
        <v>0</v>
      </c>
      <c r="U89" s="609"/>
      <c r="V89" s="610"/>
      <c r="W89" s="35"/>
      <c r="X89" s="639">
        <f>D1pc1</f>
        <v>0</v>
      </c>
      <c r="Y89" s="640"/>
      <c r="Z89" s="641"/>
      <c r="AA89" s="639">
        <f>D1pc2</f>
        <v>0</v>
      </c>
      <c r="AB89" s="640"/>
      <c r="AC89" s="641"/>
      <c r="AD89" s="606" t="str">
        <f>IF(OR((X$89+X$124+X$159)&gt;1,(AA$89+AA$124+AA$159)&gt;1),"Detoured Cars &gt; 100%","")</f>
        <v/>
      </c>
      <c r="AE89" s="607"/>
      <c r="AF89" s="607"/>
      <c r="AG89" s="607"/>
      <c r="AH89" s="597">
        <f>IF(AD89="",0,1)</f>
        <v>0</v>
      </c>
    </row>
    <row r="90" spans="2:41" x14ac:dyDescent="0.25">
      <c r="D90" s="35" t="s">
        <v>29</v>
      </c>
      <c r="H90" s="37" t="s">
        <v>356</v>
      </c>
      <c r="I90" s="670"/>
      <c r="J90" s="671"/>
      <c r="K90" s="672"/>
      <c r="L90" s="58" t="s">
        <v>343</v>
      </c>
      <c r="M90" s="670"/>
      <c r="N90" s="671"/>
      <c r="O90" s="672"/>
      <c r="P90" s="670"/>
      <c r="Q90" s="671"/>
      <c r="R90" s="672"/>
      <c r="S90" s="35"/>
      <c r="T90" s="608">
        <v>0</v>
      </c>
      <c r="U90" s="609"/>
      <c r="V90" s="610"/>
      <c r="W90" s="35"/>
      <c r="X90" s="639">
        <f>D1su1</f>
        <v>0</v>
      </c>
      <c r="Y90" s="640"/>
      <c r="Z90" s="641"/>
      <c r="AA90" s="639">
        <f>D1su2</f>
        <v>0</v>
      </c>
      <c r="AB90" s="640"/>
      <c r="AC90" s="641"/>
      <c r="AD90" s="606" t="str">
        <f>IF(OR((X$90+X$125+X$160)&gt;1,(AA$90+AA$125+AA$160)&gt;1),"Detoured SU Trucks &gt; 100%","")</f>
        <v/>
      </c>
      <c r="AE90" s="607"/>
      <c r="AF90" s="607"/>
      <c r="AG90" s="607"/>
      <c r="AH90" s="597">
        <f>IF(AD90="",0,1)</f>
        <v>0</v>
      </c>
    </row>
    <row r="91" spans="2:41" x14ac:dyDescent="0.25">
      <c r="D91" s="35" t="s">
        <v>30</v>
      </c>
      <c r="H91" s="37" t="s">
        <v>356</v>
      </c>
      <c r="I91" s="670"/>
      <c r="J91" s="671"/>
      <c r="K91" s="672"/>
      <c r="L91" s="58" t="s">
        <v>343</v>
      </c>
      <c r="M91" s="670"/>
      <c r="N91" s="671"/>
      <c r="O91" s="672"/>
      <c r="P91" s="670"/>
      <c r="Q91" s="671"/>
      <c r="R91" s="672"/>
      <c r="S91" s="35"/>
      <c r="T91" s="608">
        <v>0</v>
      </c>
      <c r="U91" s="609"/>
      <c r="V91" s="610"/>
      <c r="W91" s="35"/>
      <c r="X91" s="639">
        <f>D1ct1</f>
        <v>0</v>
      </c>
      <c r="Y91" s="640"/>
      <c r="Z91" s="641"/>
      <c r="AA91" s="639">
        <f>D1ct2</f>
        <v>0</v>
      </c>
      <c r="AB91" s="640"/>
      <c r="AC91" s="641"/>
      <c r="AD91" s="606" t="str">
        <f>IF(OR((X$91+X$126+X$161)&gt;1,(AA$91+AA$126+AA$161)&gt;1),"Detoured Trucks &gt; 100%","")</f>
        <v/>
      </c>
      <c r="AE91" s="607"/>
      <c r="AF91" s="607"/>
      <c r="AG91" s="607"/>
      <c r="AH91" s="597">
        <f>IF(AD91="",0,1)</f>
        <v>0</v>
      </c>
    </row>
    <row r="92" spans="2:41" x14ac:dyDescent="0.25">
      <c r="D92" s="35" t="s">
        <v>28</v>
      </c>
      <c r="H92" s="37" t="s">
        <v>356</v>
      </c>
      <c r="I92" s="670"/>
      <c r="J92" s="671"/>
      <c r="K92" s="672"/>
      <c r="L92" s="58" t="s">
        <v>343</v>
      </c>
      <c r="M92" s="670"/>
      <c r="N92" s="671"/>
      <c r="O92" s="672"/>
      <c r="P92" s="670"/>
      <c r="Q92" s="671"/>
      <c r="R92" s="672"/>
      <c r="S92" s="35"/>
      <c r="T92" s="608">
        <v>0</v>
      </c>
      <c r="U92" s="609"/>
      <c r="V92" s="610"/>
      <c r="W92" s="35"/>
      <c r="X92" s="639">
        <f>D1rv1</f>
        <v>0</v>
      </c>
      <c r="Y92" s="640"/>
      <c r="Z92" s="641"/>
      <c r="AA92" s="639">
        <f>D1rv2</f>
        <v>0</v>
      </c>
      <c r="AB92" s="640"/>
      <c r="AC92" s="641"/>
      <c r="AD92" s="606" t="str">
        <f>IF(OR((X$92+X$127+X$162)&gt;1,(AA$92+AA$127+AA$162)&gt;1),"Detoured RVs &gt; 100%","")</f>
        <v/>
      </c>
      <c r="AE92" s="607"/>
      <c r="AF92" s="607"/>
      <c r="AG92" s="607"/>
      <c r="AH92" s="597">
        <f>IF(AD92="",0,1)</f>
        <v>0</v>
      </c>
    </row>
    <row r="93" spans="2:41" x14ac:dyDescent="0.25">
      <c r="H93" s="35"/>
      <c r="L93" s="35"/>
      <c r="AH93" s="597"/>
    </row>
    <row r="94" spans="2:41" s="35" customFormat="1" x14ac:dyDescent="0.25">
      <c r="B94" s="696" t="s">
        <v>339</v>
      </c>
      <c r="C94" s="678"/>
      <c r="D94" s="652" t="s">
        <v>136</v>
      </c>
      <c r="E94" s="653"/>
      <c r="F94" s="653"/>
      <c r="G94" s="653"/>
      <c r="H94" s="653"/>
      <c r="I94" s="653"/>
      <c r="J94" s="653"/>
      <c r="K94" s="654"/>
      <c r="L94" s="593"/>
      <c r="M94" s="696" t="s">
        <v>339</v>
      </c>
      <c r="N94" s="678"/>
      <c r="O94" s="613" t="str">
        <f>IF(OR(D94="No Detour",D94="Both Directions"),"",SecondDirection)</f>
        <v/>
      </c>
      <c r="P94" s="699"/>
      <c r="Q94" s="699"/>
      <c r="R94" s="699"/>
      <c r="S94" s="699"/>
      <c r="T94" s="699"/>
      <c r="U94" s="699"/>
      <c r="V94" s="614"/>
      <c r="AD94" s="605" t="str">
        <f>IF(AND(FirstDetourOption="No Detour",OR(SUM(D98:K117)&gt;0,SUM(O98:V117)&gt;0)),"Change Blue Heading","")</f>
        <v/>
      </c>
      <c r="AE94" s="605"/>
      <c r="AF94" s="605"/>
      <c r="AG94" s="605"/>
      <c r="AH94" s="597">
        <f>IF(AD94="",0,1)</f>
        <v>0</v>
      </c>
      <c r="AI94" s="595"/>
      <c r="AJ94" s="595"/>
      <c r="AK94" s="595"/>
      <c r="AL94" s="595"/>
      <c r="AM94" s="595"/>
      <c r="AN94" s="595"/>
      <c r="AO94" s="594"/>
    </row>
    <row r="95" spans="2:41" s="35" customFormat="1" ht="15" customHeight="1" x14ac:dyDescent="0.25">
      <c r="B95" s="697"/>
      <c r="C95" s="698"/>
      <c r="D95" s="676" t="s">
        <v>1094</v>
      </c>
      <c r="E95" s="677"/>
      <c r="F95" s="678"/>
      <c r="G95" s="676" t="s">
        <v>367</v>
      </c>
      <c r="H95" s="678"/>
      <c r="J95" s="676" t="s">
        <v>368</v>
      </c>
      <c r="K95" s="678"/>
      <c r="L95" s="593"/>
      <c r="M95" s="697"/>
      <c r="N95" s="698"/>
      <c r="O95" s="676" t="s">
        <v>1094</v>
      </c>
      <c r="P95" s="677"/>
      <c r="Q95" s="678"/>
      <c r="R95" s="676" t="s">
        <v>367</v>
      </c>
      <c r="S95" s="678"/>
      <c r="U95" s="676" t="s">
        <v>368</v>
      </c>
      <c r="V95" s="678"/>
      <c r="AH95" s="597"/>
      <c r="AI95" s="595"/>
      <c r="AJ95" s="595"/>
      <c r="AK95" s="595"/>
      <c r="AL95" s="595"/>
      <c r="AM95" s="595"/>
      <c r="AN95" s="595"/>
      <c r="AO95" s="594"/>
    </row>
    <row r="96" spans="2:41" s="35" customFormat="1" x14ac:dyDescent="0.25">
      <c r="B96" s="697"/>
      <c r="C96" s="698"/>
      <c r="D96" s="679"/>
      <c r="E96" s="680"/>
      <c r="F96" s="681"/>
      <c r="G96" s="679"/>
      <c r="H96" s="681"/>
      <c r="J96" s="679"/>
      <c r="K96" s="681"/>
      <c r="L96" s="593"/>
      <c r="M96" s="697"/>
      <c r="N96" s="698"/>
      <c r="O96" s="679"/>
      <c r="P96" s="680"/>
      <c r="Q96" s="681"/>
      <c r="R96" s="679"/>
      <c r="S96" s="681"/>
      <c r="U96" s="679"/>
      <c r="V96" s="681"/>
      <c r="AH96" s="597"/>
      <c r="AI96" s="595"/>
      <c r="AJ96" s="595"/>
      <c r="AK96" s="595"/>
      <c r="AL96" s="595"/>
      <c r="AM96" s="595"/>
      <c r="AN96" s="595"/>
      <c r="AO96" s="594"/>
    </row>
    <row r="97" spans="2:41" s="35" customFormat="1" x14ac:dyDescent="0.25">
      <c r="B97" s="679"/>
      <c r="C97" s="681"/>
      <c r="D97" s="613" t="s">
        <v>341</v>
      </c>
      <c r="E97" s="699"/>
      <c r="F97" s="614"/>
      <c r="G97" s="613" t="s">
        <v>170</v>
      </c>
      <c r="H97" s="614"/>
      <c r="J97" s="613" t="s">
        <v>342</v>
      </c>
      <c r="K97" s="614"/>
      <c r="L97" s="593"/>
      <c r="M97" s="679"/>
      <c r="N97" s="681"/>
      <c r="O97" s="613" t="s">
        <v>341</v>
      </c>
      <c r="P97" s="699"/>
      <c r="Q97" s="614"/>
      <c r="R97" s="613" t="s">
        <v>170</v>
      </c>
      <c r="S97" s="614"/>
      <c r="U97" s="613" t="s">
        <v>342</v>
      </c>
      <c r="V97" s="614"/>
      <c r="Y97" s="37" t="s">
        <v>534</v>
      </c>
      <c r="AB97" s="37" t="s">
        <v>534</v>
      </c>
      <c r="AH97" s="597"/>
      <c r="AI97" s="595"/>
      <c r="AJ97" s="595"/>
      <c r="AK97" s="595"/>
      <c r="AL97" s="595"/>
      <c r="AM97" s="595"/>
      <c r="AN97" s="595"/>
      <c r="AO97" s="594"/>
    </row>
    <row r="98" spans="2:41" s="35" customFormat="1" x14ac:dyDescent="0.25">
      <c r="B98" s="682">
        <v>1</v>
      </c>
      <c r="C98" s="683"/>
      <c r="D98" s="611"/>
      <c r="E98" s="612"/>
      <c r="F98" s="544" t="s">
        <v>89</v>
      </c>
      <c r="G98" s="611"/>
      <c r="H98" s="612"/>
      <c r="I98" s="36" t="s">
        <v>343</v>
      </c>
      <c r="J98" s="611"/>
      <c r="K98" s="612"/>
      <c r="L98" s="593"/>
      <c r="M98" s="682">
        <v>1</v>
      </c>
      <c r="N98" s="683"/>
      <c r="O98" s="611"/>
      <c r="P98" s="612"/>
      <c r="Q98" s="544" t="s">
        <v>89</v>
      </c>
      <c r="R98" s="611"/>
      <c r="S98" s="612"/>
      <c r="T98" s="36" t="s">
        <v>343</v>
      </c>
      <c r="U98" s="611"/>
      <c r="V98" s="612"/>
      <c r="X98" s="687" t="str">
        <f>Values!H106</f>
        <v>-</v>
      </c>
      <c r="Y98" s="688"/>
      <c r="Z98" s="689"/>
      <c r="AA98" s="687" t="str">
        <f>Values!M106</f>
        <v>-</v>
      </c>
      <c r="AB98" s="688"/>
      <c r="AC98" s="689"/>
      <c r="AH98" s="597"/>
      <c r="AI98" s="595"/>
      <c r="AJ98" s="595"/>
      <c r="AK98" s="595"/>
      <c r="AL98" s="595"/>
      <c r="AM98" s="595"/>
      <c r="AN98" s="595"/>
      <c r="AO98" s="594"/>
    </row>
    <row r="99" spans="2:41" s="35" customFormat="1" x14ac:dyDescent="0.25">
      <c r="B99" s="682">
        <v>2</v>
      </c>
      <c r="C99" s="683"/>
      <c r="D99" s="611"/>
      <c r="E99" s="612"/>
      <c r="F99" s="544" t="s">
        <v>89</v>
      </c>
      <c r="G99" s="611"/>
      <c r="H99" s="612"/>
      <c r="I99" s="36" t="s">
        <v>343</v>
      </c>
      <c r="J99" s="611"/>
      <c r="K99" s="612"/>
      <c r="L99" s="593"/>
      <c r="M99" s="682">
        <v>2</v>
      </c>
      <c r="N99" s="683"/>
      <c r="O99" s="611"/>
      <c r="P99" s="612"/>
      <c r="Q99" s="544" t="s">
        <v>89</v>
      </c>
      <c r="R99" s="611"/>
      <c r="S99" s="612"/>
      <c r="T99" s="36" t="s">
        <v>343</v>
      </c>
      <c r="U99" s="611"/>
      <c r="V99" s="612"/>
      <c r="X99" s="687" t="str">
        <f>Values!H107</f>
        <v>-</v>
      </c>
      <c r="Y99" s="688"/>
      <c r="Z99" s="689"/>
      <c r="AA99" s="687" t="str">
        <f>Values!M107</f>
        <v>-</v>
      </c>
      <c r="AB99" s="688"/>
      <c r="AC99" s="689"/>
      <c r="AH99" s="597"/>
      <c r="AI99" s="595"/>
      <c r="AJ99" s="595"/>
      <c r="AK99" s="595"/>
      <c r="AL99" s="595"/>
      <c r="AM99" s="595"/>
      <c r="AN99" s="595"/>
      <c r="AO99" s="594"/>
    </row>
    <row r="100" spans="2:41" s="35" customFormat="1" x14ac:dyDescent="0.25">
      <c r="B100" s="682">
        <v>3</v>
      </c>
      <c r="C100" s="683"/>
      <c r="D100" s="611"/>
      <c r="E100" s="612"/>
      <c r="F100" s="544" t="s">
        <v>89</v>
      </c>
      <c r="G100" s="611"/>
      <c r="H100" s="612"/>
      <c r="I100" s="36" t="s">
        <v>343</v>
      </c>
      <c r="J100" s="611"/>
      <c r="K100" s="612"/>
      <c r="L100" s="593"/>
      <c r="M100" s="682">
        <v>3</v>
      </c>
      <c r="N100" s="683"/>
      <c r="O100" s="611"/>
      <c r="P100" s="612"/>
      <c r="Q100" s="544" t="s">
        <v>89</v>
      </c>
      <c r="R100" s="611"/>
      <c r="S100" s="612"/>
      <c r="T100" s="36" t="s">
        <v>343</v>
      </c>
      <c r="U100" s="611"/>
      <c r="V100" s="612"/>
      <c r="X100" s="687" t="str">
        <f>Values!H108</f>
        <v>-</v>
      </c>
      <c r="Y100" s="688"/>
      <c r="Z100" s="689"/>
      <c r="AA100" s="687" t="str">
        <f>Values!M108</f>
        <v>-</v>
      </c>
      <c r="AB100" s="688"/>
      <c r="AC100" s="689"/>
      <c r="AH100" s="597"/>
      <c r="AI100" s="595"/>
      <c r="AJ100" s="595"/>
      <c r="AK100" s="595"/>
      <c r="AL100" s="595"/>
      <c r="AM100" s="595"/>
      <c r="AN100" s="595"/>
      <c r="AO100" s="594"/>
    </row>
    <row r="101" spans="2:41" s="35" customFormat="1" x14ac:dyDescent="0.25">
      <c r="B101" s="682">
        <v>4</v>
      </c>
      <c r="C101" s="683"/>
      <c r="D101" s="611"/>
      <c r="E101" s="612"/>
      <c r="F101" s="544" t="s">
        <v>89</v>
      </c>
      <c r="G101" s="611"/>
      <c r="H101" s="612"/>
      <c r="I101" s="36" t="s">
        <v>343</v>
      </c>
      <c r="J101" s="611"/>
      <c r="K101" s="612"/>
      <c r="L101" s="593"/>
      <c r="M101" s="682">
        <v>4</v>
      </c>
      <c r="N101" s="683"/>
      <c r="O101" s="611"/>
      <c r="P101" s="612"/>
      <c r="Q101" s="544" t="s">
        <v>89</v>
      </c>
      <c r="R101" s="611"/>
      <c r="S101" s="612"/>
      <c r="T101" s="36" t="s">
        <v>343</v>
      </c>
      <c r="U101" s="611"/>
      <c r="V101" s="612"/>
      <c r="X101" s="687" t="str">
        <f>Values!H109</f>
        <v>-</v>
      </c>
      <c r="Y101" s="688"/>
      <c r="Z101" s="689"/>
      <c r="AA101" s="687" t="str">
        <f>Values!M109</f>
        <v>-</v>
      </c>
      <c r="AB101" s="688"/>
      <c r="AC101" s="689"/>
      <c r="AH101" s="597"/>
      <c r="AI101" s="595"/>
      <c r="AJ101" s="595"/>
      <c r="AK101" s="595"/>
      <c r="AL101" s="595"/>
      <c r="AM101" s="595"/>
      <c r="AN101" s="595"/>
      <c r="AO101" s="594"/>
    </row>
    <row r="102" spans="2:41" s="35" customFormat="1" x14ac:dyDescent="0.25">
      <c r="B102" s="682">
        <v>5</v>
      </c>
      <c r="C102" s="683"/>
      <c r="D102" s="611"/>
      <c r="E102" s="612"/>
      <c r="F102" s="544" t="s">
        <v>89</v>
      </c>
      <c r="G102" s="611"/>
      <c r="H102" s="612"/>
      <c r="I102" s="36" t="s">
        <v>343</v>
      </c>
      <c r="J102" s="611"/>
      <c r="K102" s="612"/>
      <c r="L102" s="593"/>
      <c r="M102" s="682">
        <v>5</v>
      </c>
      <c r="N102" s="683"/>
      <c r="O102" s="611"/>
      <c r="P102" s="612"/>
      <c r="Q102" s="544" t="s">
        <v>89</v>
      </c>
      <c r="R102" s="611"/>
      <c r="S102" s="612"/>
      <c r="T102" s="36" t="s">
        <v>343</v>
      </c>
      <c r="U102" s="611"/>
      <c r="V102" s="612"/>
      <c r="X102" s="687" t="str">
        <f>Values!H110</f>
        <v>-</v>
      </c>
      <c r="Y102" s="688"/>
      <c r="Z102" s="689"/>
      <c r="AA102" s="687" t="str">
        <f>Values!M110</f>
        <v>-</v>
      </c>
      <c r="AB102" s="688"/>
      <c r="AC102" s="689"/>
      <c r="AH102" s="597"/>
      <c r="AI102" s="595"/>
      <c r="AJ102" s="595"/>
      <c r="AK102" s="595"/>
      <c r="AL102" s="595"/>
      <c r="AM102" s="595"/>
      <c r="AN102" s="595"/>
      <c r="AO102" s="594"/>
    </row>
    <row r="103" spans="2:41" s="35" customFormat="1" x14ac:dyDescent="0.25">
      <c r="B103" s="682">
        <v>6</v>
      </c>
      <c r="C103" s="683"/>
      <c r="D103" s="611"/>
      <c r="E103" s="612"/>
      <c r="F103" s="544" t="s">
        <v>89</v>
      </c>
      <c r="G103" s="611"/>
      <c r="H103" s="612"/>
      <c r="I103" s="36" t="s">
        <v>343</v>
      </c>
      <c r="J103" s="611"/>
      <c r="K103" s="612"/>
      <c r="L103" s="593"/>
      <c r="M103" s="682">
        <v>6</v>
      </c>
      <c r="N103" s="683"/>
      <c r="O103" s="611"/>
      <c r="P103" s="612"/>
      <c r="Q103" s="544" t="s">
        <v>89</v>
      </c>
      <c r="R103" s="611"/>
      <c r="S103" s="612"/>
      <c r="T103" s="36" t="s">
        <v>343</v>
      </c>
      <c r="U103" s="611"/>
      <c r="V103" s="612"/>
      <c r="X103" s="687" t="str">
        <f>Values!H111</f>
        <v>-</v>
      </c>
      <c r="Y103" s="688"/>
      <c r="Z103" s="689"/>
      <c r="AA103" s="687" t="str">
        <f>Values!M111</f>
        <v>-</v>
      </c>
      <c r="AB103" s="688"/>
      <c r="AC103" s="689"/>
      <c r="AH103" s="597"/>
      <c r="AI103" s="595"/>
      <c r="AJ103" s="595"/>
      <c r="AK103" s="595"/>
      <c r="AL103" s="595"/>
      <c r="AM103" s="595"/>
      <c r="AN103" s="595"/>
      <c r="AO103" s="594"/>
    </row>
    <row r="104" spans="2:41" s="35" customFormat="1" x14ac:dyDescent="0.25">
      <c r="B104" s="682">
        <v>7</v>
      </c>
      <c r="C104" s="683"/>
      <c r="D104" s="611"/>
      <c r="E104" s="612"/>
      <c r="F104" s="544" t="s">
        <v>89</v>
      </c>
      <c r="G104" s="611"/>
      <c r="H104" s="612"/>
      <c r="I104" s="36" t="s">
        <v>343</v>
      </c>
      <c r="J104" s="611"/>
      <c r="K104" s="612"/>
      <c r="L104" s="593"/>
      <c r="M104" s="682">
        <v>7</v>
      </c>
      <c r="N104" s="683"/>
      <c r="O104" s="611"/>
      <c r="P104" s="612"/>
      <c r="Q104" s="544" t="s">
        <v>89</v>
      </c>
      <c r="R104" s="611"/>
      <c r="S104" s="612"/>
      <c r="T104" s="36" t="s">
        <v>343</v>
      </c>
      <c r="U104" s="611"/>
      <c r="V104" s="612"/>
      <c r="X104" s="687" t="str">
        <f>Values!H112</f>
        <v>-</v>
      </c>
      <c r="Y104" s="688"/>
      <c r="Z104" s="689"/>
      <c r="AA104" s="687" t="str">
        <f>Values!M112</f>
        <v>-</v>
      </c>
      <c r="AB104" s="688"/>
      <c r="AC104" s="689"/>
      <c r="AH104" s="597"/>
      <c r="AI104" s="595"/>
      <c r="AJ104" s="595"/>
      <c r="AK104" s="595"/>
      <c r="AL104" s="595"/>
      <c r="AM104" s="595"/>
      <c r="AN104" s="595"/>
      <c r="AO104" s="594"/>
    </row>
    <row r="105" spans="2:41" s="35" customFormat="1" x14ac:dyDescent="0.25">
      <c r="B105" s="682">
        <v>8</v>
      </c>
      <c r="C105" s="683"/>
      <c r="D105" s="611"/>
      <c r="E105" s="612"/>
      <c r="F105" s="544" t="s">
        <v>89</v>
      </c>
      <c r="G105" s="611"/>
      <c r="H105" s="612"/>
      <c r="I105" s="36" t="s">
        <v>343</v>
      </c>
      <c r="J105" s="611"/>
      <c r="K105" s="612"/>
      <c r="L105" s="593"/>
      <c r="M105" s="682">
        <v>8</v>
      </c>
      <c r="N105" s="683"/>
      <c r="O105" s="611"/>
      <c r="P105" s="612"/>
      <c r="Q105" s="544" t="s">
        <v>89</v>
      </c>
      <c r="R105" s="611"/>
      <c r="S105" s="612"/>
      <c r="T105" s="36" t="s">
        <v>343</v>
      </c>
      <c r="U105" s="611"/>
      <c r="V105" s="612"/>
      <c r="X105" s="687" t="str">
        <f>Values!H113</f>
        <v>-</v>
      </c>
      <c r="Y105" s="688"/>
      <c r="Z105" s="689"/>
      <c r="AA105" s="687" t="str">
        <f>Values!M113</f>
        <v>-</v>
      </c>
      <c r="AB105" s="688"/>
      <c r="AC105" s="689"/>
      <c r="AH105" s="597"/>
      <c r="AI105" s="595"/>
      <c r="AJ105" s="595"/>
      <c r="AK105" s="595"/>
      <c r="AL105" s="595"/>
      <c r="AM105" s="595"/>
      <c r="AN105" s="595"/>
      <c r="AO105" s="594"/>
    </row>
    <row r="106" spans="2:41" s="35" customFormat="1" x14ac:dyDescent="0.25">
      <c r="B106" s="682">
        <v>9</v>
      </c>
      <c r="C106" s="683"/>
      <c r="D106" s="611"/>
      <c r="E106" s="612"/>
      <c r="F106" s="544" t="s">
        <v>89</v>
      </c>
      <c r="G106" s="611"/>
      <c r="H106" s="612"/>
      <c r="I106" s="36" t="s">
        <v>343</v>
      </c>
      <c r="J106" s="611"/>
      <c r="K106" s="612"/>
      <c r="L106" s="593"/>
      <c r="M106" s="682">
        <v>9</v>
      </c>
      <c r="N106" s="683"/>
      <c r="O106" s="611"/>
      <c r="P106" s="612"/>
      <c r="Q106" s="544" t="s">
        <v>89</v>
      </c>
      <c r="R106" s="611"/>
      <c r="S106" s="612"/>
      <c r="T106" s="36" t="s">
        <v>343</v>
      </c>
      <c r="U106" s="611"/>
      <c r="V106" s="612"/>
      <c r="X106" s="687" t="str">
        <f>Values!H114</f>
        <v>-</v>
      </c>
      <c r="Y106" s="688"/>
      <c r="Z106" s="689"/>
      <c r="AA106" s="687" t="str">
        <f>Values!M114</f>
        <v>-</v>
      </c>
      <c r="AB106" s="688"/>
      <c r="AC106" s="689"/>
      <c r="AH106" s="597"/>
      <c r="AI106" s="595"/>
      <c r="AJ106" s="595"/>
      <c r="AK106" s="595"/>
      <c r="AL106" s="595"/>
      <c r="AM106" s="595"/>
      <c r="AN106" s="595"/>
      <c r="AO106" s="594"/>
    </row>
    <row r="107" spans="2:41" s="35" customFormat="1" x14ac:dyDescent="0.25">
      <c r="B107" s="682">
        <v>10</v>
      </c>
      <c r="C107" s="683"/>
      <c r="D107" s="611"/>
      <c r="E107" s="612"/>
      <c r="F107" s="544" t="s">
        <v>89</v>
      </c>
      <c r="G107" s="611"/>
      <c r="H107" s="612"/>
      <c r="I107" s="36" t="s">
        <v>343</v>
      </c>
      <c r="J107" s="611"/>
      <c r="K107" s="612"/>
      <c r="L107" s="593"/>
      <c r="M107" s="682">
        <v>10</v>
      </c>
      <c r="N107" s="683"/>
      <c r="O107" s="611"/>
      <c r="P107" s="612"/>
      <c r="Q107" s="544" t="s">
        <v>89</v>
      </c>
      <c r="R107" s="611"/>
      <c r="S107" s="612"/>
      <c r="T107" s="36" t="s">
        <v>343</v>
      </c>
      <c r="U107" s="611"/>
      <c r="V107" s="612"/>
      <c r="X107" s="687" t="str">
        <f>Values!H115</f>
        <v>-</v>
      </c>
      <c r="Y107" s="688"/>
      <c r="Z107" s="689"/>
      <c r="AA107" s="687" t="str">
        <f>Values!M115</f>
        <v>-</v>
      </c>
      <c r="AB107" s="688"/>
      <c r="AC107" s="689"/>
      <c r="AH107" s="597"/>
      <c r="AI107" s="595"/>
      <c r="AJ107" s="595"/>
      <c r="AK107" s="595"/>
      <c r="AL107" s="595"/>
      <c r="AM107" s="595"/>
      <c r="AN107" s="595"/>
      <c r="AO107" s="594"/>
    </row>
    <row r="108" spans="2:41" s="35" customFormat="1" x14ac:dyDescent="0.25">
      <c r="B108" s="682">
        <v>11</v>
      </c>
      <c r="C108" s="683"/>
      <c r="D108" s="611"/>
      <c r="E108" s="612"/>
      <c r="F108" s="544" t="s">
        <v>89</v>
      </c>
      <c r="G108" s="611"/>
      <c r="H108" s="612"/>
      <c r="I108" s="36" t="s">
        <v>343</v>
      </c>
      <c r="J108" s="611"/>
      <c r="K108" s="612"/>
      <c r="L108" s="593"/>
      <c r="M108" s="682">
        <v>11</v>
      </c>
      <c r="N108" s="683"/>
      <c r="O108" s="611"/>
      <c r="P108" s="612"/>
      <c r="Q108" s="544" t="s">
        <v>89</v>
      </c>
      <c r="R108" s="611"/>
      <c r="S108" s="612"/>
      <c r="T108" s="36" t="s">
        <v>343</v>
      </c>
      <c r="U108" s="611"/>
      <c r="V108" s="612"/>
      <c r="X108" s="687" t="str">
        <f>Values!H116</f>
        <v>-</v>
      </c>
      <c r="Y108" s="688"/>
      <c r="Z108" s="689"/>
      <c r="AA108" s="687" t="str">
        <f>Values!M116</f>
        <v>-</v>
      </c>
      <c r="AB108" s="688"/>
      <c r="AC108" s="689"/>
      <c r="AH108" s="597"/>
      <c r="AI108" s="595"/>
      <c r="AJ108" s="595"/>
      <c r="AK108" s="595"/>
      <c r="AL108" s="595"/>
      <c r="AM108" s="595"/>
      <c r="AN108" s="595"/>
      <c r="AO108" s="594"/>
    </row>
    <row r="109" spans="2:41" s="35" customFormat="1" x14ac:dyDescent="0.25">
      <c r="B109" s="682">
        <v>12</v>
      </c>
      <c r="C109" s="683"/>
      <c r="D109" s="611"/>
      <c r="E109" s="612"/>
      <c r="F109" s="544" t="s">
        <v>89</v>
      </c>
      <c r="G109" s="611"/>
      <c r="H109" s="612"/>
      <c r="I109" s="36" t="s">
        <v>343</v>
      </c>
      <c r="J109" s="611"/>
      <c r="K109" s="612"/>
      <c r="L109" s="593"/>
      <c r="M109" s="682">
        <v>12</v>
      </c>
      <c r="N109" s="683"/>
      <c r="O109" s="611"/>
      <c r="P109" s="612"/>
      <c r="Q109" s="544" t="s">
        <v>89</v>
      </c>
      <c r="R109" s="611"/>
      <c r="S109" s="612"/>
      <c r="T109" s="36" t="s">
        <v>343</v>
      </c>
      <c r="U109" s="611"/>
      <c r="V109" s="612"/>
      <c r="X109" s="687" t="str">
        <f>Values!H117</f>
        <v>-</v>
      </c>
      <c r="Y109" s="688"/>
      <c r="Z109" s="689"/>
      <c r="AA109" s="687" t="str">
        <f>Values!M117</f>
        <v>-</v>
      </c>
      <c r="AB109" s="688"/>
      <c r="AC109" s="689"/>
      <c r="AH109" s="597"/>
      <c r="AI109" s="595"/>
      <c r="AJ109" s="595"/>
      <c r="AK109" s="595"/>
      <c r="AL109" s="595"/>
      <c r="AM109" s="595"/>
      <c r="AN109" s="595"/>
      <c r="AO109" s="594"/>
    </row>
    <row r="110" spans="2:41" s="35" customFormat="1" x14ac:dyDescent="0.25">
      <c r="B110" s="682">
        <v>13</v>
      </c>
      <c r="C110" s="683"/>
      <c r="D110" s="611"/>
      <c r="E110" s="612"/>
      <c r="F110" s="544" t="s">
        <v>89</v>
      </c>
      <c r="G110" s="611"/>
      <c r="H110" s="612"/>
      <c r="I110" s="36" t="s">
        <v>343</v>
      </c>
      <c r="J110" s="611"/>
      <c r="K110" s="612"/>
      <c r="L110" s="593"/>
      <c r="M110" s="682">
        <v>13</v>
      </c>
      <c r="N110" s="683"/>
      <c r="O110" s="611"/>
      <c r="P110" s="612"/>
      <c r="Q110" s="544" t="s">
        <v>89</v>
      </c>
      <c r="R110" s="611"/>
      <c r="S110" s="612"/>
      <c r="T110" s="36" t="s">
        <v>343</v>
      </c>
      <c r="U110" s="611"/>
      <c r="V110" s="612"/>
      <c r="X110" s="687" t="str">
        <f>Values!H118</f>
        <v>-</v>
      </c>
      <c r="Y110" s="688"/>
      <c r="Z110" s="689"/>
      <c r="AA110" s="687" t="str">
        <f>Values!M118</f>
        <v>-</v>
      </c>
      <c r="AB110" s="688"/>
      <c r="AC110" s="689"/>
      <c r="AH110" s="597"/>
      <c r="AI110" s="595"/>
      <c r="AJ110" s="595"/>
      <c r="AK110" s="595"/>
      <c r="AL110" s="595"/>
      <c r="AM110" s="595"/>
      <c r="AN110" s="595"/>
      <c r="AO110" s="594"/>
    </row>
    <row r="111" spans="2:41" s="35" customFormat="1" x14ac:dyDescent="0.25">
      <c r="B111" s="682">
        <v>14</v>
      </c>
      <c r="C111" s="683"/>
      <c r="D111" s="611"/>
      <c r="E111" s="612"/>
      <c r="F111" s="544" t="s">
        <v>89</v>
      </c>
      <c r="G111" s="611"/>
      <c r="H111" s="612"/>
      <c r="I111" s="36" t="s">
        <v>343</v>
      </c>
      <c r="J111" s="611"/>
      <c r="K111" s="612"/>
      <c r="L111" s="593"/>
      <c r="M111" s="682">
        <v>14</v>
      </c>
      <c r="N111" s="683"/>
      <c r="O111" s="611"/>
      <c r="P111" s="612"/>
      <c r="Q111" s="544" t="s">
        <v>89</v>
      </c>
      <c r="R111" s="611"/>
      <c r="S111" s="612"/>
      <c r="T111" s="36" t="s">
        <v>343</v>
      </c>
      <c r="U111" s="611"/>
      <c r="V111" s="612"/>
      <c r="X111" s="687" t="str">
        <f>Values!H119</f>
        <v>-</v>
      </c>
      <c r="Y111" s="688"/>
      <c r="Z111" s="689"/>
      <c r="AA111" s="687" t="str">
        <f>Values!M119</f>
        <v>-</v>
      </c>
      <c r="AB111" s="688"/>
      <c r="AC111" s="689"/>
      <c r="AH111" s="597"/>
      <c r="AI111" s="595"/>
      <c r="AJ111" s="595"/>
      <c r="AK111" s="595"/>
      <c r="AL111" s="595"/>
      <c r="AM111" s="595"/>
      <c r="AN111" s="595"/>
      <c r="AO111" s="594"/>
    </row>
    <row r="112" spans="2:41" s="35" customFormat="1" x14ac:dyDescent="0.25">
      <c r="B112" s="682">
        <v>15</v>
      </c>
      <c r="C112" s="683"/>
      <c r="D112" s="611"/>
      <c r="E112" s="612"/>
      <c r="F112" s="544" t="s">
        <v>89</v>
      </c>
      <c r="G112" s="611"/>
      <c r="H112" s="612"/>
      <c r="I112" s="36" t="s">
        <v>343</v>
      </c>
      <c r="J112" s="611"/>
      <c r="K112" s="612"/>
      <c r="L112" s="593"/>
      <c r="M112" s="682">
        <v>15</v>
      </c>
      <c r="N112" s="683"/>
      <c r="O112" s="611"/>
      <c r="P112" s="612"/>
      <c r="Q112" s="544" t="s">
        <v>89</v>
      </c>
      <c r="R112" s="611"/>
      <c r="S112" s="612"/>
      <c r="T112" s="36" t="s">
        <v>343</v>
      </c>
      <c r="U112" s="611"/>
      <c r="V112" s="612"/>
      <c r="X112" s="687" t="str">
        <f>Values!H120</f>
        <v>-</v>
      </c>
      <c r="Y112" s="688"/>
      <c r="Z112" s="689"/>
      <c r="AA112" s="687" t="str">
        <f>Values!M120</f>
        <v>-</v>
      </c>
      <c r="AB112" s="688"/>
      <c r="AC112" s="689"/>
      <c r="AH112" s="597"/>
      <c r="AI112" s="595"/>
      <c r="AJ112" s="595"/>
      <c r="AK112" s="595"/>
      <c r="AL112" s="595"/>
      <c r="AM112" s="595"/>
      <c r="AN112" s="595"/>
      <c r="AO112" s="594"/>
    </row>
    <row r="113" spans="2:41" s="35" customFormat="1" x14ac:dyDescent="0.25">
      <c r="B113" s="682">
        <v>16</v>
      </c>
      <c r="C113" s="683"/>
      <c r="D113" s="611"/>
      <c r="E113" s="612"/>
      <c r="F113" s="544" t="s">
        <v>89</v>
      </c>
      <c r="G113" s="611"/>
      <c r="H113" s="612"/>
      <c r="I113" s="36" t="s">
        <v>343</v>
      </c>
      <c r="J113" s="611"/>
      <c r="K113" s="612"/>
      <c r="L113" s="593"/>
      <c r="M113" s="682">
        <v>16</v>
      </c>
      <c r="N113" s="683"/>
      <c r="O113" s="611"/>
      <c r="P113" s="612"/>
      <c r="Q113" s="544" t="s">
        <v>89</v>
      </c>
      <c r="R113" s="611"/>
      <c r="S113" s="612"/>
      <c r="T113" s="36" t="s">
        <v>343</v>
      </c>
      <c r="U113" s="611"/>
      <c r="V113" s="612"/>
      <c r="X113" s="687" t="str">
        <f>Values!H121</f>
        <v>-</v>
      </c>
      <c r="Y113" s="688"/>
      <c r="Z113" s="689"/>
      <c r="AA113" s="687" t="str">
        <f>Values!M121</f>
        <v>-</v>
      </c>
      <c r="AB113" s="688"/>
      <c r="AC113" s="689"/>
      <c r="AH113" s="597"/>
      <c r="AI113" s="595"/>
      <c r="AJ113" s="595"/>
      <c r="AK113" s="595"/>
      <c r="AL113" s="595"/>
      <c r="AM113" s="595"/>
      <c r="AN113" s="595"/>
      <c r="AO113" s="594"/>
    </row>
    <row r="114" spans="2:41" s="35" customFormat="1" x14ac:dyDescent="0.25">
      <c r="B114" s="682">
        <v>17</v>
      </c>
      <c r="C114" s="683"/>
      <c r="D114" s="611"/>
      <c r="E114" s="612"/>
      <c r="F114" s="544" t="s">
        <v>89</v>
      </c>
      <c r="G114" s="611"/>
      <c r="H114" s="612"/>
      <c r="I114" s="36" t="s">
        <v>343</v>
      </c>
      <c r="J114" s="611"/>
      <c r="K114" s="612"/>
      <c r="L114" s="593"/>
      <c r="M114" s="682">
        <v>17</v>
      </c>
      <c r="N114" s="683"/>
      <c r="O114" s="611"/>
      <c r="P114" s="612"/>
      <c r="Q114" s="544" t="s">
        <v>89</v>
      </c>
      <c r="R114" s="611"/>
      <c r="S114" s="612"/>
      <c r="T114" s="36" t="s">
        <v>343</v>
      </c>
      <c r="U114" s="611"/>
      <c r="V114" s="612"/>
      <c r="X114" s="687" t="str">
        <f>Values!H122</f>
        <v>-</v>
      </c>
      <c r="Y114" s="688"/>
      <c r="Z114" s="689"/>
      <c r="AA114" s="687" t="str">
        <f>Values!M122</f>
        <v>-</v>
      </c>
      <c r="AB114" s="688"/>
      <c r="AC114" s="689"/>
      <c r="AH114" s="597"/>
      <c r="AI114" s="595"/>
      <c r="AJ114" s="595"/>
      <c r="AK114" s="595"/>
      <c r="AL114" s="595"/>
      <c r="AM114" s="595"/>
      <c r="AN114" s="595"/>
      <c r="AO114" s="594"/>
    </row>
    <row r="115" spans="2:41" s="35" customFormat="1" x14ac:dyDescent="0.25">
      <c r="B115" s="682">
        <v>18</v>
      </c>
      <c r="C115" s="683"/>
      <c r="D115" s="611"/>
      <c r="E115" s="612"/>
      <c r="F115" s="544" t="s">
        <v>89</v>
      </c>
      <c r="G115" s="611"/>
      <c r="H115" s="612"/>
      <c r="I115" s="36" t="s">
        <v>343</v>
      </c>
      <c r="J115" s="611"/>
      <c r="K115" s="612"/>
      <c r="L115" s="593"/>
      <c r="M115" s="682">
        <v>18</v>
      </c>
      <c r="N115" s="683"/>
      <c r="O115" s="611"/>
      <c r="P115" s="612"/>
      <c r="Q115" s="544" t="s">
        <v>89</v>
      </c>
      <c r="R115" s="611"/>
      <c r="S115" s="612"/>
      <c r="T115" s="36" t="s">
        <v>343</v>
      </c>
      <c r="U115" s="611"/>
      <c r="V115" s="612"/>
      <c r="X115" s="687" t="str">
        <f>Values!H123</f>
        <v>-</v>
      </c>
      <c r="Y115" s="688"/>
      <c r="Z115" s="689"/>
      <c r="AA115" s="687" t="str">
        <f>Values!M123</f>
        <v>-</v>
      </c>
      <c r="AB115" s="688"/>
      <c r="AC115" s="689"/>
      <c r="AH115" s="597"/>
      <c r="AI115" s="595"/>
      <c r="AJ115" s="595"/>
      <c r="AK115" s="595"/>
      <c r="AL115" s="595"/>
      <c r="AM115" s="595"/>
      <c r="AN115" s="595"/>
      <c r="AO115" s="594"/>
    </row>
    <row r="116" spans="2:41" s="35" customFormat="1" x14ac:dyDescent="0.25">
      <c r="B116" s="682">
        <v>19</v>
      </c>
      <c r="C116" s="683"/>
      <c r="D116" s="611"/>
      <c r="E116" s="612"/>
      <c r="F116" s="544" t="s">
        <v>89</v>
      </c>
      <c r="G116" s="611"/>
      <c r="H116" s="612"/>
      <c r="I116" s="36" t="s">
        <v>343</v>
      </c>
      <c r="J116" s="611"/>
      <c r="K116" s="612"/>
      <c r="L116" s="593"/>
      <c r="M116" s="682">
        <v>19</v>
      </c>
      <c r="N116" s="683"/>
      <c r="O116" s="611"/>
      <c r="P116" s="612"/>
      <c r="Q116" s="544" t="s">
        <v>89</v>
      </c>
      <c r="R116" s="611"/>
      <c r="S116" s="612"/>
      <c r="T116" s="36" t="s">
        <v>343</v>
      </c>
      <c r="U116" s="611"/>
      <c r="V116" s="612"/>
      <c r="X116" s="687" t="str">
        <f>Values!H124</f>
        <v>-</v>
      </c>
      <c r="Y116" s="688"/>
      <c r="Z116" s="689"/>
      <c r="AA116" s="687" t="str">
        <f>Values!M124</f>
        <v>-</v>
      </c>
      <c r="AB116" s="688"/>
      <c r="AC116" s="689"/>
      <c r="AH116" s="597"/>
      <c r="AI116" s="595"/>
      <c r="AJ116" s="595"/>
      <c r="AK116" s="595"/>
      <c r="AL116" s="595"/>
      <c r="AM116" s="595"/>
      <c r="AN116" s="595"/>
      <c r="AO116" s="594"/>
    </row>
    <row r="117" spans="2:41" s="35" customFormat="1" x14ac:dyDescent="0.25">
      <c r="B117" s="682">
        <v>20</v>
      </c>
      <c r="C117" s="683"/>
      <c r="D117" s="611"/>
      <c r="E117" s="612"/>
      <c r="F117" s="544" t="s">
        <v>89</v>
      </c>
      <c r="G117" s="611"/>
      <c r="H117" s="612"/>
      <c r="I117" s="36" t="s">
        <v>343</v>
      </c>
      <c r="J117" s="611"/>
      <c r="K117" s="612"/>
      <c r="L117" s="593"/>
      <c r="M117" s="682">
        <v>20</v>
      </c>
      <c r="N117" s="683"/>
      <c r="O117" s="611"/>
      <c r="P117" s="612"/>
      <c r="Q117" s="544" t="s">
        <v>89</v>
      </c>
      <c r="R117" s="611"/>
      <c r="S117" s="612"/>
      <c r="T117" s="36" t="s">
        <v>343</v>
      </c>
      <c r="U117" s="611"/>
      <c r="V117" s="612"/>
      <c r="X117" s="687" t="str">
        <f>Values!H125</f>
        <v>-</v>
      </c>
      <c r="Y117" s="688"/>
      <c r="Z117" s="689"/>
      <c r="AA117" s="687" t="str">
        <f>Values!M125</f>
        <v>-</v>
      </c>
      <c r="AB117" s="688"/>
      <c r="AC117" s="689"/>
      <c r="AH117" s="597"/>
      <c r="AI117" s="595"/>
      <c r="AJ117" s="595"/>
      <c r="AK117" s="595"/>
      <c r="AL117" s="595"/>
      <c r="AM117" s="595"/>
      <c r="AN117" s="595"/>
      <c r="AO117" s="594"/>
    </row>
    <row r="118" spans="2:41" s="35" customFormat="1" x14ac:dyDescent="0.25">
      <c r="B118" s="613" t="s">
        <v>239</v>
      </c>
      <c r="C118" s="614"/>
      <c r="D118" s="665" t="str">
        <f>D1length1</f>
        <v/>
      </c>
      <c r="E118" s="666"/>
      <c r="F118" s="185" t="s">
        <v>89</v>
      </c>
      <c r="L118" s="568"/>
      <c r="M118" s="613" t="s">
        <v>239</v>
      </c>
      <c r="N118" s="614"/>
      <c r="O118" s="665" t="str">
        <f>D1length2</f>
        <v/>
      </c>
      <c r="P118" s="666"/>
      <c r="Q118" s="185" t="s">
        <v>89</v>
      </c>
      <c r="X118" s="690">
        <f>D1time1</f>
        <v>0</v>
      </c>
      <c r="Y118" s="691"/>
      <c r="Z118" s="692"/>
      <c r="AA118" s="690">
        <f>D1time2</f>
        <v>0</v>
      </c>
      <c r="AB118" s="691"/>
      <c r="AC118" s="692"/>
      <c r="AH118" s="597"/>
      <c r="AI118" s="595"/>
      <c r="AJ118" s="595"/>
      <c r="AK118" s="595"/>
      <c r="AL118" s="595"/>
      <c r="AM118" s="595"/>
      <c r="AN118" s="595"/>
      <c r="AO118" s="594"/>
    </row>
    <row r="119" spans="2:41" s="35" customFormat="1" x14ac:dyDescent="0.25">
      <c r="AH119" s="597"/>
      <c r="AI119" s="595"/>
      <c r="AJ119" s="595"/>
      <c r="AK119" s="595"/>
      <c r="AL119" s="595"/>
      <c r="AM119" s="595"/>
      <c r="AN119" s="595"/>
      <c r="AO119" s="594"/>
    </row>
    <row r="120" spans="2:41" s="35" customFormat="1" x14ac:dyDescent="0.25">
      <c r="AH120" s="597"/>
      <c r="AI120" s="595"/>
      <c r="AJ120" s="595"/>
      <c r="AK120" s="595"/>
      <c r="AL120" s="595"/>
      <c r="AM120" s="595"/>
      <c r="AN120" s="595"/>
      <c r="AO120" s="594"/>
    </row>
    <row r="121" spans="2:41" x14ac:dyDescent="0.25">
      <c r="C121" s="682" t="s">
        <v>344</v>
      </c>
      <c r="D121" s="700"/>
      <c r="E121" s="700"/>
      <c r="F121" s="700"/>
      <c r="G121" s="683"/>
      <c r="H121" s="35"/>
      <c r="I121" s="35"/>
      <c r="J121" s="35"/>
      <c r="K121" s="35"/>
      <c r="L121" s="35"/>
      <c r="M121" s="35"/>
      <c r="N121" s="35"/>
      <c r="O121" s="35"/>
      <c r="P121" s="35"/>
      <c r="Q121" s="35"/>
      <c r="R121" s="35"/>
      <c r="S121" s="35"/>
      <c r="T121" s="35"/>
      <c r="U121" s="35"/>
      <c r="V121" s="35"/>
      <c r="W121" s="35"/>
      <c r="X121" s="35"/>
      <c r="Y121" s="35"/>
      <c r="Z121" s="35"/>
      <c r="AA121" s="35"/>
      <c r="AH121" s="597"/>
    </row>
    <row r="122" spans="2:41" x14ac:dyDescent="0.25">
      <c r="C122" s="46"/>
      <c r="D122" s="46"/>
      <c r="E122" s="46"/>
      <c r="F122" s="46"/>
      <c r="G122" s="46"/>
      <c r="H122" s="35"/>
      <c r="I122" s="35"/>
      <c r="J122" s="35"/>
      <c r="K122" s="35"/>
      <c r="L122" s="35"/>
      <c r="M122" s="35"/>
      <c r="N122" s="35"/>
      <c r="O122" s="35"/>
      <c r="P122" s="35"/>
      <c r="Q122" s="35"/>
      <c r="R122" s="35"/>
      <c r="S122" s="35"/>
      <c r="T122" s="35"/>
      <c r="U122" s="35"/>
      <c r="V122" s="35"/>
      <c r="W122" s="35"/>
      <c r="X122" s="35"/>
      <c r="Y122" s="35"/>
      <c r="Z122" s="35"/>
      <c r="AA122" s="35"/>
      <c r="AH122" s="597"/>
    </row>
    <row r="123" spans="2:41" x14ac:dyDescent="0.25">
      <c r="D123" s="35"/>
      <c r="E123" s="35"/>
      <c r="F123" s="35"/>
      <c r="G123" s="459" t="s">
        <v>535</v>
      </c>
      <c r="H123" s="37" t="s">
        <v>356</v>
      </c>
      <c r="I123" s="667"/>
      <c r="J123" s="668"/>
      <c r="K123" s="669"/>
      <c r="L123" s="58" t="s">
        <v>343</v>
      </c>
      <c r="M123" s="667"/>
      <c r="N123" s="668"/>
      <c r="O123" s="669"/>
      <c r="P123" s="667"/>
      <c r="Q123" s="668"/>
      <c r="R123" s="669"/>
      <c r="S123" s="35"/>
      <c r="T123" s="608">
        <v>0</v>
      </c>
      <c r="U123" s="609"/>
      <c r="V123" s="610"/>
      <c r="W123" s="35"/>
      <c r="X123" s="90"/>
      <c r="Y123" s="91"/>
      <c r="Z123" s="91"/>
      <c r="AA123" s="91"/>
      <c r="AB123" s="91"/>
      <c r="AC123" s="92"/>
      <c r="AH123" s="597"/>
    </row>
    <row r="124" spans="2:41" x14ac:dyDescent="0.25">
      <c r="C124" s="35"/>
      <c r="D124" s="35" t="s">
        <v>27</v>
      </c>
      <c r="E124" s="1"/>
      <c r="F124" s="1"/>
      <c r="G124" s="1"/>
      <c r="H124" s="37" t="s">
        <v>356</v>
      </c>
      <c r="I124" s="670"/>
      <c r="J124" s="671"/>
      <c r="K124" s="672"/>
      <c r="L124" s="58" t="s">
        <v>343</v>
      </c>
      <c r="M124" s="670"/>
      <c r="N124" s="671"/>
      <c r="O124" s="672"/>
      <c r="P124" s="670"/>
      <c r="Q124" s="671"/>
      <c r="R124" s="672"/>
      <c r="S124" s="35"/>
      <c r="T124" s="608">
        <v>0</v>
      </c>
      <c r="U124" s="609"/>
      <c r="V124" s="610"/>
      <c r="W124" s="35"/>
      <c r="X124" s="639">
        <f>D2pc1</f>
        <v>0</v>
      </c>
      <c r="Y124" s="640"/>
      <c r="Z124" s="641"/>
      <c r="AA124" s="639">
        <f>D2pc2</f>
        <v>0</v>
      </c>
      <c r="AB124" s="640"/>
      <c r="AC124" s="641"/>
      <c r="AD124" s="606" t="str">
        <f>IF(OR((X$89+X$124+X$159)&gt;1,(AA$89+AA$124+AA$159)&gt;1),"Detoured Cars &gt; 100%","")</f>
        <v/>
      </c>
      <c r="AE124" s="607"/>
      <c r="AF124" s="607"/>
      <c r="AG124" s="607"/>
      <c r="AH124" s="597">
        <f>IF(AD124="",0,1)</f>
        <v>0</v>
      </c>
    </row>
    <row r="125" spans="2:41" x14ac:dyDescent="0.25">
      <c r="D125" s="35" t="s">
        <v>29</v>
      </c>
      <c r="E125" s="35"/>
      <c r="F125" s="35"/>
      <c r="G125" s="35"/>
      <c r="H125" s="37" t="s">
        <v>356</v>
      </c>
      <c r="I125" s="670"/>
      <c r="J125" s="671"/>
      <c r="K125" s="672"/>
      <c r="L125" s="58" t="s">
        <v>343</v>
      </c>
      <c r="M125" s="670"/>
      <c r="N125" s="671"/>
      <c r="O125" s="672"/>
      <c r="P125" s="670"/>
      <c r="Q125" s="671"/>
      <c r="R125" s="672"/>
      <c r="S125" s="35"/>
      <c r="T125" s="608">
        <v>0</v>
      </c>
      <c r="U125" s="609"/>
      <c r="V125" s="610"/>
      <c r="W125" s="35"/>
      <c r="X125" s="639">
        <f>D2su1</f>
        <v>0</v>
      </c>
      <c r="Y125" s="640"/>
      <c r="Z125" s="641"/>
      <c r="AA125" s="639">
        <f>D2su2</f>
        <v>0</v>
      </c>
      <c r="AB125" s="640"/>
      <c r="AC125" s="641"/>
      <c r="AD125" s="606" t="str">
        <f>IF(OR((X$90+X$125+X$160)&gt;1,(AA$90+AA$125+AA$160)&gt;1),"Detoured SU Trucks &gt; 100%","")</f>
        <v/>
      </c>
      <c r="AE125" s="607"/>
      <c r="AF125" s="607"/>
      <c r="AG125" s="607"/>
      <c r="AH125" s="597">
        <f>IF(AD125="",0,1)</f>
        <v>0</v>
      </c>
    </row>
    <row r="126" spans="2:41" x14ac:dyDescent="0.25">
      <c r="C126" s="35"/>
      <c r="D126" s="35" t="s">
        <v>30</v>
      </c>
      <c r="E126" s="35"/>
      <c r="F126" s="35"/>
      <c r="G126" s="35"/>
      <c r="H126" s="37" t="s">
        <v>356</v>
      </c>
      <c r="I126" s="670"/>
      <c r="J126" s="671"/>
      <c r="K126" s="672"/>
      <c r="L126" s="58" t="s">
        <v>343</v>
      </c>
      <c r="M126" s="670"/>
      <c r="N126" s="671"/>
      <c r="O126" s="672"/>
      <c r="P126" s="670"/>
      <c r="Q126" s="671"/>
      <c r="R126" s="672"/>
      <c r="S126" s="35"/>
      <c r="T126" s="608">
        <v>0</v>
      </c>
      <c r="U126" s="609"/>
      <c r="V126" s="610"/>
      <c r="W126" s="35"/>
      <c r="X126" s="639">
        <f>D2ct1</f>
        <v>0</v>
      </c>
      <c r="Y126" s="640"/>
      <c r="Z126" s="641"/>
      <c r="AA126" s="639">
        <f>D2ct2</f>
        <v>0</v>
      </c>
      <c r="AB126" s="640"/>
      <c r="AC126" s="641"/>
      <c r="AD126" s="606" t="str">
        <f>IF(OR((X$91+X$126+X$161)&gt;1,(AA$91+AA$126+AA$161)&gt;1),"Detoured Trucks &gt; 100%","")</f>
        <v/>
      </c>
      <c r="AE126" s="607"/>
      <c r="AF126" s="607"/>
      <c r="AG126" s="607"/>
      <c r="AH126" s="597">
        <f>IF(AD126="",0,1)</f>
        <v>0</v>
      </c>
    </row>
    <row r="127" spans="2:41" x14ac:dyDescent="0.25">
      <c r="C127" s="35"/>
      <c r="D127" s="35" t="s">
        <v>28</v>
      </c>
      <c r="E127" s="35"/>
      <c r="F127" s="35"/>
      <c r="G127" s="35"/>
      <c r="H127" s="37" t="s">
        <v>356</v>
      </c>
      <c r="I127" s="670"/>
      <c r="J127" s="671"/>
      <c r="K127" s="672"/>
      <c r="L127" s="58" t="s">
        <v>343</v>
      </c>
      <c r="M127" s="670"/>
      <c r="N127" s="671"/>
      <c r="O127" s="672"/>
      <c r="P127" s="670"/>
      <c r="Q127" s="671"/>
      <c r="R127" s="672"/>
      <c r="S127" s="35"/>
      <c r="T127" s="608">
        <v>0</v>
      </c>
      <c r="U127" s="609"/>
      <c r="V127" s="610"/>
      <c r="W127" s="35"/>
      <c r="X127" s="639">
        <f>D2rv1</f>
        <v>0</v>
      </c>
      <c r="Y127" s="640"/>
      <c r="Z127" s="641"/>
      <c r="AA127" s="639">
        <f>D2rv2</f>
        <v>0</v>
      </c>
      <c r="AB127" s="640"/>
      <c r="AC127" s="641"/>
      <c r="AD127" s="606" t="str">
        <f>IF(OR((X$92+X$127+X$162)&gt;1,(AA$92+AA$127+AA$162)&gt;1),"Detoured RVs &gt; 100%","")</f>
        <v/>
      </c>
      <c r="AE127" s="607"/>
      <c r="AF127" s="607"/>
      <c r="AG127" s="607"/>
      <c r="AH127" s="597">
        <f>IF(AD127="",0,1)</f>
        <v>0</v>
      </c>
    </row>
    <row r="128" spans="2:41" x14ac:dyDescent="0.2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H128" s="597"/>
    </row>
    <row r="129" spans="2:34" x14ac:dyDescent="0.25">
      <c r="B129" s="696" t="s">
        <v>339</v>
      </c>
      <c r="C129" s="678"/>
      <c r="D129" s="652" t="s">
        <v>136</v>
      </c>
      <c r="E129" s="653"/>
      <c r="F129" s="653"/>
      <c r="G129" s="653"/>
      <c r="H129" s="653"/>
      <c r="I129" s="653"/>
      <c r="J129" s="653"/>
      <c r="K129" s="654"/>
      <c r="L129" s="593"/>
      <c r="M129" s="696" t="s">
        <v>339</v>
      </c>
      <c r="N129" s="678"/>
      <c r="O129" s="613" t="str">
        <f>IF(OR(D129="No Detour",D129="Both Directions"),"",SecondDirection)</f>
        <v/>
      </c>
      <c r="P129" s="699"/>
      <c r="Q129" s="699"/>
      <c r="R129" s="699"/>
      <c r="S129" s="699"/>
      <c r="T129" s="699"/>
      <c r="U129" s="699"/>
      <c r="V129" s="614"/>
      <c r="W129" s="35"/>
      <c r="X129" s="35"/>
      <c r="Y129" s="35"/>
      <c r="Z129" s="35"/>
      <c r="AA129" s="35"/>
      <c r="AB129" s="35"/>
      <c r="AC129" s="35"/>
      <c r="AD129" s="605" t="str">
        <f>IF(AND(SecondDetourOption="No Detour",OR(SUM(D133:K152)&gt;0,SUM(O133:V152)&gt;0)),"Change Blue Heading","")</f>
        <v/>
      </c>
      <c r="AE129" s="605"/>
      <c r="AF129" s="605"/>
      <c r="AG129" s="605"/>
      <c r="AH129" s="597">
        <f>IF(AD129="",0,1)</f>
        <v>0</v>
      </c>
    </row>
    <row r="130" spans="2:34" ht="15" customHeight="1" x14ac:dyDescent="0.25">
      <c r="B130" s="697"/>
      <c r="C130" s="698"/>
      <c r="D130" s="676" t="s">
        <v>1094</v>
      </c>
      <c r="E130" s="677"/>
      <c r="F130" s="678"/>
      <c r="G130" s="676" t="s">
        <v>367</v>
      </c>
      <c r="H130" s="678"/>
      <c r="I130" s="35"/>
      <c r="J130" s="676" t="s">
        <v>368</v>
      </c>
      <c r="K130" s="678"/>
      <c r="L130" s="593"/>
      <c r="M130" s="697"/>
      <c r="N130" s="698"/>
      <c r="O130" s="676" t="s">
        <v>1094</v>
      </c>
      <c r="P130" s="677"/>
      <c r="Q130" s="678"/>
      <c r="R130" s="676" t="s">
        <v>367</v>
      </c>
      <c r="S130" s="678"/>
      <c r="T130" s="35"/>
      <c r="U130" s="676" t="s">
        <v>368</v>
      </c>
      <c r="V130" s="678"/>
      <c r="W130" s="35"/>
      <c r="X130" s="35"/>
      <c r="Y130" s="35"/>
      <c r="Z130" s="35"/>
      <c r="AA130" s="35"/>
      <c r="AB130" s="35"/>
      <c r="AC130" s="35"/>
      <c r="AH130" s="597"/>
    </row>
    <row r="131" spans="2:34" x14ac:dyDescent="0.25">
      <c r="B131" s="697"/>
      <c r="C131" s="698"/>
      <c r="D131" s="679"/>
      <c r="E131" s="680"/>
      <c r="F131" s="681"/>
      <c r="G131" s="679"/>
      <c r="H131" s="681"/>
      <c r="I131" s="35"/>
      <c r="J131" s="679"/>
      <c r="K131" s="681"/>
      <c r="L131" s="593"/>
      <c r="M131" s="697"/>
      <c r="N131" s="698"/>
      <c r="O131" s="679"/>
      <c r="P131" s="680"/>
      <c r="Q131" s="681"/>
      <c r="R131" s="679"/>
      <c r="S131" s="681"/>
      <c r="T131" s="35"/>
      <c r="U131" s="679"/>
      <c r="V131" s="681"/>
      <c r="W131" s="35"/>
      <c r="X131" s="35"/>
      <c r="Y131" s="35"/>
      <c r="Z131" s="35"/>
      <c r="AA131" s="35"/>
      <c r="AB131" s="35"/>
      <c r="AC131" s="35"/>
      <c r="AH131" s="597"/>
    </row>
    <row r="132" spans="2:34" x14ac:dyDescent="0.25">
      <c r="B132" s="679"/>
      <c r="C132" s="681"/>
      <c r="D132" s="613" t="s">
        <v>341</v>
      </c>
      <c r="E132" s="699"/>
      <c r="F132" s="614"/>
      <c r="G132" s="613" t="s">
        <v>170</v>
      </c>
      <c r="H132" s="614"/>
      <c r="I132" s="35"/>
      <c r="J132" s="613" t="s">
        <v>342</v>
      </c>
      <c r="K132" s="614"/>
      <c r="L132" s="593"/>
      <c r="M132" s="679"/>
      <c r="N132" s="681"/>
      <c r="O132" s="613" t="s">
        <v>341</v>
      </c>
      <c r="P132" s="699"/>
      <c r="Q132" s="614"/>
      <c r="R132" s="613" t="s">
        <v>170</v>
      </c>
      <c r="S132" s="614"/>
      <c r="T132" s="35"/>
      <c r="U132" s="613" t="s">
        <v>342</v>
      </c>
      <c r="V132" s="614"/>
      <c r="W132" s="35"/>
      <c r="X132" s="35"/>
      <c r="Y132" s="37" t="s">
        <v>534</v>
      </c>
      <c r="Z132" s="35"/>
      <c r="AA132" s="35"/>
      <c r="AB132" s="37" t="s">
        <v>534</v>
      </c>
      <c r="AC132" s="35"/>
      <c r="AH132" s="597"/>
    </row>
    <row r="133" spans="2:34" x14ac:dyDescent="0.25">
      <c r="B133" s="682">
        <v>1</v>
      </c>
      <c r="C133" s="683"/>
      <c r="D133" s="611"/>
      <c r="E133" s="612"/>
      <c r="F133" s="544" t="s">
        <v>89</v>
      </c>
      <c r="G133" s="611"/>
      <c r="H133" s="612"/>
      <c r="I133" s="36" t="s">
        <v>343</v>
      </c>
      <c r="J133" s="611"/>
      <c r="K133" s="612"/>
      <c r="L133" s="593"/>
      <c r="M133" s="682">
        <v>1</v>
      </c>
      <c r="N133" s="683"/>
      <c r="O133" s="611"/>
      <c r="P133" s="612"/>
      <c r="Q133" s="544" t="s">
        <v>89</v>
      </c>
      <c r="R133" s="611"/>
      <c r="S133" s="612"/>
      <c r="T133" s="36" t="s">
        <v>343</v>
      </c>
      <c r="U133" s="611"/>
      <c r="V133" s="612"/>
      <c r="W133" s="35"/>
      <c r="X133" s="687" t="str">
        <f>Values!H134</f>
        <v>-</v>
      </c>
      <c r="Y133" s="688"/>
      <c r="Z133" s="689"/>
      <c r="AA133" s="687" t="str">
        <f>Values!M134</f>
        <v>-</v>
      </c>
      <c r="AB133" s="688"/>
      <c r="AC133" s="689"/>
      <c r="AH133" s="597"/>
    </row>
    <row r="134" spans="2:34" x14ac:dyDescent="0.25">
      <c r="B134" s="682">
        <v>2</v>
      </c>
      <c r="C134" s="683"/>
      <c r="D134" s="611"/>
      <c r="E134" s="612"/>
      <c r="F134" s="544" t="s">
        <v>89</v>
      </c>
      <c r="G134" s="611"/>
      <c r="H134" s="612"/>
      <c r="I134" s="36" t="s">
        <v>343</v>
      </c>
      <c r="J134" s="611"/>
      <c r="K134" s="612"/>
      <c r="L134" s="593"/>
      <c r="M134" s="682">
        <v>2</v>
      </c>
      <c r="N134" s="683"/>
      <c r="O134" s="611"/>
      <c r="P134" s="612"/>
      <c r="Q134" s="544" t="s">
        <v>89</v>
      </c>
      <c r="R134" s="611"/>
      <c r="S134" s="612"/>
      <c r="T134" s="36" t="s">
        <v>343</v>
      </c>
      <c r="U134" s="611"/>
      <c r="V134" s="612"/>
      <c r="W134" s="35"/>
      <c r="X134" s="687" t="str">
        <f>Values!H135</f>
        <v>-</v>
      </c>
      <c r="Y134" s="688"/>
      <c r="Z134" s="689"/>
      <c r="AA134" s="687" t="str">
        <f>Values!M135</f>
        <v>-</v>
      </c>
      <c r="AB134" s="688"/>
      <c r="AC134" s="689"/>
      <c r="AH134" s="597"/>
    </row>
    <row r="135" spans="2:34" x14ac:dyDescent="0.25">
      <c r="B135" s="682">
        <v>3</v>
      </c>
      <c r="C135" s="683"/>
      <c r="D135" s="611"/>
      <c r="E135" s="612"/>
      <c r="F135" s="544" t="s">
        <v>89</v>
      </c>
      <c r="G135" s="611"/>
      <c r="H135" s="612"/>
      <c r="I135" s="36" t="s">
        <v>343</v>
      </c>
      <c r="J135" s="611"/>
      <c r="K135" s="612"/>
      <c r="L135" s="593"/>
      <c r="M135" s="682">
        <v>3</v>
      </c>
      <c r="N135" s="683"/>
      <c r="O135" s="611"/>
      <c r="P135" s="612"/>
      <c r="Q135" s="544" t="s">
        <v>89</v>
      </c>
      <c r="R135" s="611"/>
      <c r="S135" s="612"/>
      <c r="T135" s="36" t="s">
        <v>343</v>
      </c>
      <c r="U135" s="611"/>
      <c r="V135" s="612"/>
      <c r="W135" s="35"/>
      <c r="X135" s="687" t="str">
        <f>Values!H136</f>
        <v>-</v>
      </c>
      <c r="Y135" s="688"/>
      <c r="Z135" s="689"/>
      <c r="AA135" s="687" t="str">
        <f>Values!M136</f>
        <v>-</v>
      </c>
      <c r="AB135" s="688"/>
      <c r="AC135" s="689"/>
      <c r="AH135" s="597"/>
    </row>
    <row r="136" spans="2:34" x14ac:dyDescent="0.25">
      <c r="B136" s="682">
        <v>4</v>
      </c>
      <c r="C136" s="683"/>
      <c r="D136" s="611"/>
      <c r="E136" s="612"/>
      <c r="F136" s="544" t="s">
        <v>89</v>
      </c>
      <c r="G136" s="611"/>
      <c r="H136" s="612"/>
      <c r="I136" s="36" t="s">
        <v>343</v>
      </c>
      <c r="J136" s="611"/>
      <c r="K136" s="612"/>
      <c r="L136" s="593"/>
      <c r="M136" s="682">
        <v>4</v>
      </c>
      <c r="N136" s="683"/>
      <c r="O136" s="611"/>
      <c r="P136" s="612"/>
      <c r="Q136" s="544" t="s">
        <v>89</v>
      </c>
      <c r="R136" s="611"/>
      <c r="S136" s="612"/>
      <c r="T136" s="36" t="s">
        <v>343</v>
      </c>
      <c r="U136" s="611"/>
      <c r="V136" s="612"/>
      <c r="W136" s="35"/>
      <c r="X136" s="687" t="str">
        <f>Values!H137</f>
        <v>-</v>
      </c>
      <c r="Y136" s="688"/>
      <c r="Z136" s="689"/>
      <c r="AA136" s="687" t="str">
        <f>Values!M137</f>
        <v>-</v>
      </c>
      <c r="AB136" s="688"/>
      <c r="AC136" s="689"/>
      <c r="AH136" s="597"/>
    </row>
    <row r="137" spans="2:34" x14ac:dyDescent="0.25">
      <c r="B137" s="682">
        <v>5</v>
      </c>
      <c r="C137" s="683"/>
      <c r="D137" s="611"/>
      <c r="E137" s="612"/>
      <c r="F137" s="544" t="s">
        <v>89</v>
      </c>
      <c r="G137" s="611"/>
      <c r="H137" s="612"/>
      <c r="I137" s="36" t="s">
        <v>343</v>
      </c>
      <c r="J137" s="611"/>
      <c r="K137" s="612"/>
      <c r="L137" s="593"/>
      <c r="M137" s="682">
        <v>5</v>
      </c>
      <c r="N137" s="683"/>
      <c r="O137" s="611"/>
      <c r="P137" s="612"/>
      <c r="Q137" s="544" t="s">
        <v>89</v>
      </c>
      <c r="R137" s="611"/>
      <c r="S137" s="612"/>
      <c r="T137" s="36" t="s">
        <v>343</v>
      </c>
      <c r="U137" s="611"/>
      <c r="V137" s="612"/>
      <c r="W137" s="35"/>
      <c r="X137" s="687" t="str">
        <f>Values!H138</f>
        <v>-</v>
      </c>
      <c r="Y137" s="688"/>
      <c r="Z137" s="689"/>
      <c r="AA137" s="687" t="str">
        <f>Values!M138</f>
        <v>-</v>
      </c>
      <c r="AB137" s="688"/>
      <c r="AC137" s="689"/>
      <c r="AH137" s="597"/>
    </row>
    <row r="138" spans="2:34" x14ac:dyDescent="0.25">
      <c r="B138" s="682">
        <v>6</v>
      </c>
      <c r="C138" s="683"/>
      <c r="D138" s="611"/>
      <c r="E138" s="612"/>
      <c r="F138" s="544" t="s">
        <v>89</v>
      </c>
      <c r="G138" s="611"/>
      <c r="H138" s="612"/>
      <c r="I138" s="36" t="s">
        <v>343</v>
      </c>
      <c r="J138" s="611"/>
      <c r="K138" s="612"/>
      <c r="L138" s="593"/>
      <c r="M138" s="682">
        <v>6</v>
      </c>
      <c r="N138" s="683"/>
      <c r="O138" s="611"/>
      <c r="P138" s="612"/>
      <c r="Q138" s="544" t="s">
        <v>89</v>
      </c>
      <c r="R138" s="611"/>
      <c r="S138" s="612"/>
      <c r="T138" s="36" t="s">
        <v>343</v>
      </c>
      <c r="U138" s="611"/>
      <c r="V138" s="612"/>
      <c r="W138" s="35"/>
      <c r="X138" s="687" t="str">
        <f>Values!H139</f>
        <v>-</v>
      </c>
      <c r="Y138" s="688"/>
      <c r="Z138" s="689"/>
      <c r="AA138" s="687" t="str">
        <f>Values!M139</f>
        <v>-</v>
      </c>
      <c r="AB138" s="688"/>
      <c r="AC138" s="689"/>
      <c r="AH138" s="597"/>
    </row>
    <row r="139" spans="2:34" x14ac:dyDescent="0.25">
      <c r="B139" s="682">
        <v>7</v>
      </c>
      <c r="C139" s="683"/>
      <c r="D139" s="611"/>
      <c r="E139" s="612"/>
      <c r="F139" s="544" t="s">
        <v>89</v>
      </c>
      <c r="G139" s="611"/>
      <c r="H139" s="612"/>
      <c r="I139" s="36" t="s">
        <v>343</v>
      </c>
      <c r="J139" s="611"/>
      <c r="K139" s="612"/>
      <c r="L139" s="593"/>
      <c r="M139" s="682">
        <v>7</v>
      </c>
      <c r="N139" s="683"/>
      <c r="O139" s="611"/>
      <c r="P139" s="612"/>
      <c r="Q139" s="544" t="s">
        <v>89</v>
      </c>
      <c r="R139" s="611"/>
      <c r="S139" s="612"/>
      <c r="T139" s="36" t="s">
        <v>343</v>
      </c>
      <c r="U139" s="611"/>
      <c r="V139" s="612"/>
      <c r="W139" s="35"/>
      <c r="X139" s="687" t="str">
        <f>Values!H140</f>
        <v>-</v>
      </c>
      <c r="Y139" s="688"/>
      <c r="Z139" s="689"/>
      <c r="AA139" s="687" t="str">
        <f>Values!M140</f>
        <v>-</v>
      </c>
      <c r="AB139" s="688"/>
      <c r="AC139" s="689"/>
      <c r="AH139" s="597"/>
    </row>
    <row r="140" spans="2:34" x14ac:dyDescent="0.25">
      <c r="B140" s="682">
        <v>8</v>
      </c>
      <c r="C140" s="683"/>
      <c r="D140" s="611"/>
      <c r="E140" s="612"/>
      <c r="F140" s="544" t="s">
        <v>89</v>
      </c>
      <c r="G140" s="611"/>
      <c r="H140" s="612"/>
      <c r="I140" s="36" t="s">
        <v>343</v>
      </c>
      <c r="J140" s="611"/>
      <c r="K140" s="612"/>
      <c r="L140" s="593"/>
      <c r="M140" s="682">
        <v>8</v>
      </c>
      <c r="N140" s="683"/>
      <c r="O140" s="611"/>
      <c r="P140" s="612"/>
      <c r="Q140" s="544" t="s">
        <v>89</v>
      </c>
      <c r="R140" s="611"/>
      <c r="S140" s="612"/>
      <c r="T140" s="36" t="s">
        <v>343</v>
      </c>
      <c r="U140" s="611"/>
      <c r="V140" s="612"/>
      <c r="W140" s="35"/>
      <c r="X140" s="687" t="str">
        <f>Values!H141</f>
        <v>-</v>
      </c>
      <c r="Y140" s="688"/>
      <c r="Z140" s="689"/>
      <c r="AA140" s="687" t="str">
        <f>Values!M141</f>
        <v>-</v>
      </c>
      <c r="AB140" s="688"/>
      <c r="AC140" s="689"/>
      <c r="AH140" s="597"/>
    </row>
    <row r="141" spans="2:34" x14ac:dyDescent="0.25">
      <c r="B141" s="682">
        <v>9</v>
      </c>
      <c r="C141" s="683"/>
      <c r="D141" s="611"/>
      <c r="E141" s="612"/>
      <c r="F141" s="544" t="s">
        <v>89</v>
      </c>
      <c r="G141" s="611"/>
      <c r="H141" s="612"/>
      <c r="I141" s="36" t="s">
        <v>343</v>
      </c>
      <c r="J141" s="611"/>
      <c r="K141" s="612"/>
      <c r="L141" s="593"/>
      <c r="M141" s="682">
        <v>9</v>
      </c>
      <c r="N141" s="683"/>
      <c r="O141" s="611"/>
      <c r="P141" s="612"/>
      <c r="Q141" s="544" t="s">
        <v>89</v>
      </c>
      <c r="R141" s="611"/>
      <c r="S141" s="612"/>
      <c r="T141" s="36" t="s">
        <v>343</v>
      </c>
      <c r="U141" s="611"/>
      <c r="V141" s="612"/>
      <c r="W141" s="35"/>
      <c r="X141" s="687" t="str">
        <f>Values!H142</f>
        <v>-</v>
      </c>
      <c r="Y141" s="688"/>
      <c r="Z141" s="689"/>
      <c r="AA141" s="687" t="str">
        <f>Values!M142</f>
        <v>-</v>
      </c>
      <c r="AB141" s="688"/>
      <c r="AC141" s="689"/>
      <c r="AH141" s="597"/>
    </row>
    <row r="142" spans="2:34" x14ac:dyDescent="0.25">
      <c r="B142" s="682">
        <v>10</v>
      </c>
      <c r="C142" s="683"/>
      <c r="D142" s="611"/>
      <c r="E142" s="612"/>
      <c r="F142" s="544" t="s">
        <v>89</v>
      </c>
      <c r="G142" s="611"/>
      <c r="H142" s="612"/>
      <c r="I142" s="36" t="s">
        <v>343</v>
      </c>
      <c r="J142" s="611"/>
      <c r="K142" s="612"/>
      <c r="L142" s="593"/>
      <c r="M142" s="682">
        <v>10</v>
      </c>
      <c r="N142" s="683"/>
      <c r="O142" s="611"/>
      <c r="P142" s="612"/>
      <c r="Q142" s="544" t="s">
        <v>89</v>
      </c>
      <c r="R142" s="611"/>
      <c r="S142" s="612"/>
      <c r="T142" s="36" t="s">
        <v>343</v>
      </c>
      <c r="U142" s="611"/>
      <c r="V142" s="612"/>
      <c r="W142" s="35"/>
      <c r="X142" s="687" t="str">
        <f>Values!H143</f>
        <v>-</v>
      </c>
      <c r="Y142" s="688"/>
      <c r="Z142" s="689"/>
      <c r="AA142" s="687" t="str">
        <f>Values!M143</f>
        <v>-</v>
      </c>
      <c r="AB142" s="688"/>
      <c r="AC142" s="689"/>
      <c r="AH142" s="597"/>
    </row>
    <row r="143" spans="2:34" x14ac:dyDescent="0.25">
      <c r="B143" s="682">
        <v>11</v>
      </c>
      <c r="C143" s="683"/>
      <c r="D143" s="611"/>
      <c r="E143" s="612"/>
      <c r="F143" s="544" t="s">
        <v>89</v>
      </c>
      <c r="G143" s="611"/>
      <c r="H143" s="612"/>
      <c r="I143" s="36" t="s">
        <v>343</v>
      </c>
      <c r="J143" s="611"/>
      <c r="K143" s="612"/>
      <c r="L143" s="593"/>
      <c r="M143" s="682">
        <v>11</v>
      </c>
      <c r="N143" s="683"/>
      <c r="O143" s="611"/>
      <c r="P143" s="612"/>
      <c r="Q143" s="544" t="s">
        <v>89</v>
      </c>
      <c r="R143" s="611"/>
      <c r="S143" s="612"/>
      <c r="T143" s="36" t="s">
        <v>343</v>
      </c>
      <c r="U143" s="611"/>
      <c r="V143" s="612"/>
      <c r="W143" s="35"/>
      <c r="X143" s="687" t="str">
        <f>Values!H144</f>
        <v>-</v>
      </c>
      <c r="Y143" s="688"/>
      <c r="Z143" s="689"/>
      <c r="AA143" s="687" t="str">
        <f>Values!M144</f>
        <v>-</v>
      </c>
      <c r="AB143" s="688"/>
      <c r="AC143" s="689"/>
      <c r="AH143" s="597"/>
    </row>
    <row r="144" spans="2:34" x14ac:dyDescent="0.25">
      <c r="B144" s="682">
        <v>12</v>
      </c>
      <c r="C144" s="683"/>
      <c r="D144" s="611"/>
      <c r="E144" s="612"/>
      <c r="F144" s="544" t="s">
        <v>89</v>
      </c>
      <c r="G144" s="611"/>
      <c r="H144" s="612"/>
      <c r="I144" s="36" t="s">
        <v>343</v>
      </c>
      <c r="J144" s="611"/>
      <c r="K144" s="612"/>
      <c r="L144" s="593"/>
      <c r="M144" s="682">
        <v>12</v>
      </c>
      <c r="N144" s="683"/>
      <c r="O144" s="611"/>
      <c r="P144" s="612"/>
      <c r="Q144" s="544" t="s">
        <v>89</v>
      </c>
      <c r="R144" s="611"/>
      <c r="S144" s="612"/>
      <c r="T144" s="36" t="s">
        <v>343</v>
      </c>
      <c r="U144" s="611"/>
      <c r="V144" s="612"/>
      <c r="W144" s="35"/>
      <c r="X144" s="687" t="str">
        <f>Values!H145</f>
        <v>-</v>
      </c>
      <c r="Y144" s="688"/>
      <c r="Z144" s="689"/>
      <c r="AA144" s="687" t="str">
        <f>Values!M145</f>
        <v>-</v>
      </c>
      <c r="AB144" s="688"/>
      <c r="AC144" s="689"/>
      <c r="AH144" s="597"/>
    </row>
    <row r="145" spans="2:41" x14ac:dyDescent="0.25">
      <c r="B145" s="682">
        <v>13</v>
      </c>
      <c r="C145" s="683"/>
      <c r="D145" s="611"/>
      <c r="E145" s="612"/>
      <c r="F145" s="544" t="s">
        <v>89</v>
      </c>
      <c r="G145" s="611"/>
      <c r="H145" s="612"/>
      <c r="I145" s="36" t="s">
        <v>343</v>
      </c>
      <c r="J145" s="611"/>
      <c r="K145" s="612"/>
      <c r="L145" s="593"/>
      <c r="M145" s="682">
        <v>13</v>
      </c>
      <c r="N145" s="683"/>
      <c r="O145" s="611"/>
      <c r="P145" s="612"/>
      <c r="Q145" s="544" t="s">
        <v>89</v>
      </c>
      <c r="R145" s="611"/>
      <c r="S145" s="612"/>
      <c r="T145" s="36" t="s">
        <v>343</v>
      </c>
      <c r="U145" s="611"/>
      <c r="V145" s="612"/>
      <c r="W145" s="35"/>
      <c r="X145" s="687" t="str">
        <f>Values!H146</f>
        <v>-</v>
      </c>
      <c r="Y145" s="688"/>
      <c r="Z145" s="689"/>
      <c r="AA145" s="687" t="str">
        <f>Values!M146</f>
        <v>-</v>
      </c>
      <c r="AB145" s="688"/>
      <c r="AC145" s="689"/>
      <c r="AH145" s="597"/>
    </row>
    <row r="146" spans="2:41" x14ac:dyDescent="0.25">
      <c r="B146" s="682">
        <v>14</v>
      </c>
      <c r="C146" s="683"/>
      <c r="D146" s="611"/>
      <c r="E146" s="612"/>
      <c r="F146" s="544" t="s">
        <v>89</v>
      </c>
      <c r="G146" s="611"/>
      <c r="H146" s="612"/>
      <c r="I146" s="36" t="s">
        <v>343</v>
      </c>
      <c r="J146" s="611"/>
      <c r="K146" s="612"/>
      <c r="L146" s="593"/>
      <c r="M146" s="682">
        <v>14</v>
      </c>
      <c r="N146" s="683"/>
      <c r="O146" s="611"/>
      <c r="P146" s="612"/>
      <c r="Q146" s="544" t="s">
        <v>89</v>
      </c>
      <c r="R146" s="611"/>
      <c r="S146" s="612"/>
      <c r="T146" s="36" t="s">
        <v>343</v>
      </c>
      <c r="U146" s="611"/>
      <c r="V146" s="612"/>
      <c r="W146" s="35"/>
      <c r="X146" s="687" t="str">
        <f>Values!H147</f>
        <v>-</v>
      </c>
      <c r="Y146" s="688"/>
      <c r="Z146" s="689"/>
      <c r="AA146" s="687" t="str">
        <f>Values!M147</f>
        <v>-</v>
      </c>
      <c r="AB146" s="688"/>
      <c r="AC146" s="689"/>
      <c r="AH146" s="597"/>
    </row>
    <row r="147" spans="2:41" x14ac:dyDescent="0.25">
      <c r="B147" s="682">
        <v>15</v>
      </c>
      <c r="C147" s="683"/>
      <c r="D147" s="611"/>
      <c r="E147" s="612"/>
      <c r="F147" s="544" t="s">
        <v>89</v>
      </c>
      <c r="G147" s="611"/>
      <c r="H147" s="612"/>
      <c r="I147" s="36" t="s">
        <v>343</v>
      </c>
      <c r="J147" s="611"/>
      <c r="K147" s="612"/>
      <c r="L147" s="593"/>
      <c r="M147" s="682">
        <v>15</v>
      </c>
      <c r="N147" s="683"/>
      <c r="O147" s="611"/>
      <c r="P147" s="612"/>
      <c r="Q147" s="544" t="s">
        <v>89</v>
      </c>
      <c r="R147" s="611"/>
      <c r="S147" s="612"/>
      <c r="T147" s="36" t="s">
        <v>343</v>
      </c>
      <c r="U147" s="611"/>
      <c r="V147" s="612"/>
      <c r="W147" s="35"/>
      <c r="X147" s="687" t="str">
        <f>Values!H148</f>
        <v>-</v>
      </c>
      <c r="Y147" s="688"/>
      <c r="Z147" s="689"/>
      <c r="AA147" s="687" t="str">
        <f>Values!M148</f>
        <v>-</v>
      </c>
      <c r="AB147" s="688"/>
      <c r="AC147" s="689"/>
      <c r="AH147" s="597"/>
    </row>
    <row r="148" spans="2:41" x14ac:dyDescent="0.25">
      <c r="B148" s="682">
        <v>16</v>
      </c>
      <c r="C148" s="683"/>
      <c r="D148" s="611"/>
      <c r="E148" s="612"/>
      <c r="F148" s="544" t="s">
        <v>89</v>
      </c>
      <c r="G148" s="611"/>
      <c r="H148" s="612"/>
      <c r="I148" s="36" t="s">
        <v>343</v>
      </c>
      <c r="J148" s="611"/>
      <c r="K148" s="612"/>
      <c r="L148" s="593"/>
      <c r="M148" s="682">
        <v>16</v>
      </c>
      <c r="N148" s="683"/>
      <c r="O148" s="611"/>
      <c r="P148" s="612"/>
      <c r="Q148" s="544" t="s">
        <v>89</v>
      </c>
      <c r="R148" s="611"/>
      <c r="S148" s="612"/>
      <c r="T148" s="36" t="s">
        <v>343</v>
      </c>
      <c r="U148" s="611"/>
      <c r="V148" s="612"/>
      <c r="W148" s="35"/>
      <c r="X148" s="687" t="str">
        <f>Values!H149</f>
        <v>-</v>
      </c>
      <c r="Y148" s="688"/>
      <c r="Z148" s="689"/>
      <c r="AA148" s="687" t="str">
        <f>Values!M149</f>
        <v>-</v>
      </c>
      <c r="AB148" s="688"/>
      <c r="AC148" s="689"/>
      <c r="AH148" s="597"/>
    </row>
    <row r="149" spans="2:41" x14ac:dyDescent="0.25">
      <c r="B149" s="682">
        <v>17</v>
      </c>
      <c r="C149" s="683"/>
      <c r="D149" s="611"/>
      <c r="E149" s="612"/>
      <c r="F149" s="544" t="s">
        <v>89</v>
      </c>
      <c r="G149" s="611"/>
      <c r="H149" s="612"/>
      <c r="I149" s="36" t="s">
        <v>343</v>
      </c>
      <c r="J149" s="611"/>
      <c r="K149" s="612"/>
      <c r="L149" s="593"/>
      <c r="M149" s="682">
        <v>17</v>
      </c>
      <c r="N149" s="683"/>
      <c r="O149" s="611"/>
      <c r="P149" s="612"/>
      <c r="Q149" s="544" t="s">
        <v>89</v>
      </c>
      <c r="R149" s="611"/>
      <c r="S149" s="612"/>
      <c r="T149" s="36" t="s">
        <v>343</v>
      </c>
      <c r="U149" s="611"/>
      <c r="V149" s="612"/>
      <c r="W149" s="35"/>
      <c r="X149" s="687" t="str">
        <f>Values!H150</f>
        <v>-</v>
      </c>
      <c r="Y149" s="688"/>
      <c r="Z149" s="689"/>
      <c r="AA149" s="687" t="str">
        <f>Values!M150</f>
        <v>-</v>
      </c>
      <c r="AB149" s="688"/>
      <c r="AC149" s="689"/>
      <c r="AH149" s="597"/>
    </row>
    <row r="150" spans="2:41" x14ac:dyDescent="0.25">
      <c r="B150" s="682">
        <v>18</v>
      </c>
      <c r="C150" s="683"/>
      <c r="D150" s="611"/>
      <c r="E150" s="612"/>
      <c r="F150" s="544" t="s">
        <v>89</v>
      </c>
      <c r="G150" s="611"/>
      <c r="H150" s="612"/>
      <c r="I150" s="36" t="s">
        <v>343</v>
      </c>
      <c r="J150" s="611"/>
      <c r="K150" s="612"/>
      <c r="L150" s="593"/>
      <c r="M150" s="682">
        <v>18</v>
      </c>
      <c r="N150" s="683"/>
      <c r="O150" s="611"/>
      <c r="P150" s="612"/>
      <c r="Q150" s="544" t="s">
        <v>89</v>
      </c>
      <c r="R150" s="611"/>
      <c r="S150" s="612"/>
      <c r="T150" s="36" t="s">
        <v>343</v>
      </c>
      <c r="U150" s="611"/>
      <c r="V150" s="612"/>
      <c r="W150" s="35"/>
      <c r="X150" s="687" t="str">
        <f>Values!H151</f>
        <v>-</v>
      </c>
      <c r="Y150" s="688"/>
      <c r="Z150" s="689"/>
      <c r="AA150" s="687" t="str">
        <f>Values!M151</f>
        <v>-</v>
      </c>
      <c r="AB150" s="688"/>
      <c r="AC150" s="689"/>
      <c r="AH150" s="597"/>
    </row>
    <row r="151" spans="2:41" x14ac:dyDescent="0.25">
      <c r="B151" s="682">
        <v>19</v>
      </c>
      <c r="C151" s="683"/>
      <c r="D151" s="611"/>
      <c r="E151" s="612"/>
      <c r="F151" s="544" t="s">
        <v>89</v>
      </c>
      <c r="G151" s="611"/>
      <c r="H151" s="612"/>
      <c r="I151" s="36" t="s">
        <v>343</v>
      </c>
      <c r="J151" s="611"/>
      <c r="K151" s="612"/>
      <c r="L151" s="593"/>
      <c r="M151" s="682">
        <v>19</v>
      </c>
      <c r="N151" s="683"/>
      <c r="O151" s="611"/>
      <c r="P151" s="612"/>
      <c r="Q151" s="544" t="s">
        <v>89</v>
      </c>
      <c r="R151" s="611"/>
      <c r="S151" s="612"/>
      <c r="T151" s="36" t="s">
        <v>343</v>
      </c>
      <c r="U151" s="611"/>
      <c r="V151" s="612"/>
      <c r="W151" s="35"/>
      <c r="X151" s="687" t="str">
        <f>Values!H152</f>
        <v>-</v>
      </c>
      <c r="Y151" s="688"/>
      <c r="Z151" s="689"/>
      <c r="AA151" s="687" t="str">
        <f>Values!M152</f>
        <v>-</v>
      </c>
      <c r="AB151" s="688"/>
      <c r="AC151" s="689"/>
      <c r="AH151" s="597"/>
    </row>
    <row r="152" spans="2:41" x14ac:dyDescent="0.25">
      <c r="B152" s="682">
        <v>20</v>
      </c>
      <c r="C152" s="683"/>
      <c r="D152" s="611"/>
      <c r="E152" s="612"/>
      <c r="F152" s="544" t="s">
        <v>89</v>
      </c>
      <c r="G152" s="611"/>
      <c r="H152" s="612"/>
      <c r="I152" s="36" t="s">
        <v>343</v>
      </c>
      <c r="J152" s="611"/>
      <c r="K152" s="612"/>
      <c r="L152" s="593"/>
      <c r="M152" s="682">
        <v>20</v>
      </c>
      <c r="N152" s="683"/>
      <c r="O152" s="611"/>
      <c r="P152" s="612"/>
      <c r="Q152" s="544" t="s">
        <v>89</v>
      </c>
      <c r="R152" s="611"/>
      <c r="S152" s="612"/>
      <c r="T152" s="36" t="s">
        <v>343</v>
      </c>
      <c r="U152" s="611"/>
      <c r="V152" s="612"/>
      <c r="W152" s="35"/>
      <c r="X152" s="687" t="str">
        <f>Values!H153</f>
        <v>-</v>
      </c>
      <c r="Y152" s="688"/>
      <c r="Z152" s="689"/>
      <c r="AA152" s="687" t="str">
        <f>Values!M153</f>
        <v>-</v>
      </c>
      <c r="AB152" s="688"/>
      <c r="AC152" s="689"/>
      <c r="AH152" s="597"/>
    </row>
    <row r="153" spans="2:41" x14ac:dyDescent="0.25">
      <c r="B153" s="613" t="s">
        <v>239</v>
      </c>
      <c r="C153" s="614"/>
      <c r="D153" s="665" t="str">
        <f>D2length1</f>
        <v/>
      </c>
      <c r="E153" s="666"/>
      <c r="F153" s="185" t="s">
        <v>89</v>
      </c>
      <c r="G153" s="35"/>
      <c r="H153" s="35"/>
      <c r="I153" s="35"/>
      <c r="J153" s="35"/>
      <c r="K153" s="35"/>
      <c r="L153" s="568"/>
      <c r="M153" s="613" t="s">
        <v>239</v>
      </c>
      <c r="N153" s="614"/>
      <c r="O153" s="665" t="str">
        <f>D2length2</f>
        <v/>
      </c>
      <c r="P153" s="666"/>
      <c r="Q153" s="185" t="s">
        <v>89</v>
      </c>
      <c r="R153" s="35"/>
      <c r="S153" s="35"/>
      <c r="T153" s="35"/>
      <c r="U153" s="35"/>
      <c r="V153" s="35"/>
      <c r="W153" s="35"/>
      <c r="X153" s="690">
        <f>D2time1</f>
        <v>0</v>
      </c>
      <c r="Y153" s="691"/>
      <c r="Z153" s="692"/>
      <c r="AA153" s="690">
        <f>D2time2</f>
        <v>0</v>
      </c>
      <c r="AB153" s="691"/>
      <c r="AC153" s="692"/>
      <c r="AH153" s="597"/>
    </row>
    <row r="154" spans="2:41" x14ac:dyDescent="0.25">
      <c r="AH154" s="597"/>
    </row>
    <row r="155" spans="2:41" s="35" customFormat="1" x14ac:dyDescent="0.25">
      <c r="AH155" s="597"/>
      <c r="AI155" s="595"/>
      <c r="AJ155" s="595"/>
      <c r="AK155" s="595"/>
      <c r="AL155" s="595"/>
      <c r="AM155" s="595"/>
      <c r="AN155" s="595"/>
      <c r="AO155" s="594"/>
    </row>
    <row r="156" spans="2:41" x14ac:dyDescent="0.25">
      <c r="C156" s="682" t="s">
        <v>345</v>
      </c>
      <c r="D156" s="700"/>
      <c r="E156" s="700"/>
      <c r="F156" s="700"/>
      <c r="G156" s="683"/>
      <c r="H156" s="35"/>
      <c r="I156" s="35"/>
      <c r="J156" s="35"/>
      <c r="K156" s="35"/>
      <c r="L156" s="35"/>
      <c r="M156" s="35"/>
      <c r="N156" s="35"/>
      <c r="O156" s="35"/>
      <c r="P156" s="35"/>
      <c r="Q156" s="35"/>
      <c r="R156" s="35"/>
      <c r="S156" s="35"/>
      <c r="T156" s="35"/>
      <c r="U156" s="35"/>
      <c r="V156" s="35"/>
      <c r="W156" s="35"/>
      <c r="X156" s="35"/>
      <c r="Y156" s="35"/>
      <c r="Z156" s="35"/>
      <c r="AA156" s="35"/>
      <c r="AH156" s="597"/>
    </row>
    <row r="157" spans="2:41" x14ac:dyDescent="0.25">
      <c r="C157" s="46"/>
      <c r="D157" s="46"/>
      <c r="E157" s="46"/>
      <c r="F157" s="46"/>
      <c r="G157" s="46"/>
      <c r="H157" s="35"/>
      <c r="I157" s="35"/>
      <c r="J157" s="35"/>
      <c r="K157" s="35"/>
      <c r="L157" s="35"/>
      <c r="M157" s="35"/>
      <c r="N157" s="35"/>
      <c r="O157" s="35"/>
      <c r="P157" s="35"/>
      <c r="Q157" s="35"/>
      <c r="R157" s="35"/>
      <c r="S157" s="35"/>
      <c r="T157" s="35"/>
      <c r="U157" s="35"/>
      <c r="V157" s="35"/>
      <c r="W157" s="35"/>
      <c r="X157" s="35"/>
      <c r="Y157" s="35"/>
      <c r="Z157" s="35"/>
      <c r="AA157" s="35"/>
      <c r="AH157" s="597"/>
    </row>
    <row r="158" spans="2:41" x14ac:dyDescent="0.25">
      <c r="D158" s="35"/>
      <c r="E158" s="35"/>
      <c r="F158" s="35"/>
      <c r="G158" s="459" t="s">
        <v>535</v>
      </c>
      <c r="H158" s="37" t="s">
        <v>356</v>
      </c>
      <c r="I158" s="667"/>
      <c r="J158" s="668"/>
      <c r="K158" s="669"/>
      <c r="L158" s="58" t="s">
        <v>343</v>
      </c>
      <c r="M158" s="667"/>
      <c r="N158" s="668"/>
      <c r="O158" s="669"/>
      <c r="P158" s="667"/>
      <c r="Q158" s="668"/>
      <c r="R158" s="669"/>
      <c r="S158" s="35"/>
      <c r="T158" s="608">
        <v>0</v>
      </c>
      <c r="U158" s="609"/>
      <c r="V158" s="610"/>
      <c r="W158" s="35"/>
      <c r="X158" s="90"/>
      <c r="Y158" s="91"/>
      <c r="Z158" s="91"/>
      <c r="AA158" s="91"/>
      <c r="AB158" s="91"/>
      <c r="AC158" s="92"/>
      <c r="AH158" s="597"/>
    </row>
    <row r="159" spans="2:41" x14ac:dyDescent="0.25">
      <c r="C159" s="35"/>
      <c r="D159" s="35" t="s">
        <v>27</v>
      </c>
      <c r="E159" s="1"/>
      <c r="F159" s="1"/>
      <c r="G159" s="1"/>
      <c r="H159" s="37" t="s">
        <v>356</v>
      </c>
      <c r="I159" s="670"/>
      <c r="J159" s="671"/>
      <c r="K159" s="672"/>
      <c r="L159" s="58" t="s">
        <v>343</v>
      </c>
      <c r="M159" s="670"/>
      <c r="N159" s="671"/>
      <c r="O159" s="672"/>
      <c r="P159" s="670"/>
      <c r="Q159" s="671"/>
      <c r="R159" s="672"/>
      <c r="S159" s="35"/>
      <c r="T159" s="608">
        <v>0</v>
      </c>
      <c r="U159" s="609"/>
      <c r="V159" s="610"/>
      <c r="W159" s="35"/>
      <c r="X159" s="639">
        <f>D3pc1</f>
        <v>0</v>
      </c>
      <c r="Y159" s="640"/>
      <c r="Z159" s="641"/>
      <c r="AA159" s="639">
        <f>D3pc2</f>
        <v>0</v>
      </c>
      <c r="AB159" s="640"/>
      <c r="AC159" s="641"/>
      <c r="AD159" s="606" t="str">
        <f>IF(OR((X$89+X$124+X$159)&gt;1,(AA$89+AA$124+AA$159)&gt;1),"Detoured Cars &gt; 100%","")</f>
        <v/>
      </c>
      <c r="AE159" s="607"/>
      <c r="AF159" s="607"/>
      <c r="AG159" s="607"/>
      <c r="AH159" s="597">
        <f>IF(AD159="",0,1)</f>
        <v>0</v>
      </c>
    </row>
    <row r="160" spans="2:41" x14ac:dyDescent="0.25">
      <c r="C160" s="35"/>
      <c r="D160" s="35" t="s">
        <v>29</v>
      </c>
      <c r="E160" s="35"/>
      <c r="F160" s="35"/>
      <c r="G160" s="35"/>
      <c r="H160" s="37" t="s">
        <v>356</v>
      </c>
      <c r="I160" s="670"/>
      <c r="J160" s="671"/>
      <c r="K160" s="672"/>
      <c r="L160" s="58" t="s">
        <v>343</v>
      </c>
      <c r="M160" s="670"/>
      <c r="N160" s="671"/>
      <c r="O160" s="672"/>
      <c r="P160" s="670"/>
      <c r="Q160" s="671"/>
      <c r="R160" s="672"/>
      <c r="S160" s="35"/>
      <c r="T160" s="608">
        <v>0</v>
      </c>
      <c r="U160" s="609"/>
      <c r="V160" s="610"/>
      <c r="W160" s="35"/>
      <c r="X160" s="639">
        <f>D3su1</f>
        <v>0</v>
      </c>
      <c r="Y160" s="640"/>
      <c r="Z160" s="641"/>
      <c r="AA160" s="639">
        <f>D3su2</f>
        <v>0</v>
      </c>
      <c r="AB160" s="640"/>
      <c r="AC160" s="641"/>
      <c r="AD160" s="606" t="str">
        <f>IF(OR((X$90+X$125+X$160)&gt;1,(AA$90+AA$125+AA$160)&gt;1),"Detoured SU Trucks &gt; 100%","")</f>
        <v/>
      </c>
      <c r="AE160" s="607"/>
      <c r="AF160" s="607"/>
      <c r="AG160" s="607"/>
      <c r="AH160" s="597">
        <f>IF(AD160="",0,1)</f>
        <v>0</v>
      </c>
    </row>
    <row r="161" spans="2:34" x14ac:dyDescent="0.25">
      <c r="C161" s="35"/>
      <c r="D161" s="35" t="s">
        <v>30</v>
      </c>
      <c r="E161" s="35"/>
      <c r="F161" s="35"/>
      <c r="G161" s="35"/>
      <c r="H161" s="37" t="s">
        <v>356</v>
      </c>
      <c r="I161" s="670"/>
      <c r="J161" s="671"/>
      <c r="K161" s="672"/>
      <c r="L161" s="58" t="s">
        <v>343</v>
      </c>
      <c r="M161" s="670"/>
      <c r="N161" s="671"/>
      <c r="O161" s="672"/>
      <c r="P161" s="670"/>
      <c r="Q161" s="671"/>
      <c r="R161" s="672"/>
      <c r="S161" s="35"/>
      <c r="T161" s="608">
        <v>0</v>
      </c>
      <c r="U161" s="609"/>
      <c r="V161" s="610"/>
      <c r="W161" s="35"/>
      <c r="X161" s="639">
        <f>D3ct1</f>
        <v>0</v>
      </c>
      <c r="Y161" s="640"/>
      <c r="Z161" s="641"/>
      <c r="AA161" s="639">
        <f>D3ct2</f>
        <v>0</v>
      </c>
      <c r="AB161" s="640"/>
      <c r="AC161" s="641"/>
      <c r="AD161" s="606" t="str">
        <f>IF(OR((X$91+X$126+X$161)&gt;1,(AA$91+AA$126+AA$161)&gt;1),"Detoured Trucks &gt; 100%","")</f>
        <v/>
      </c>
      <c r="AE161" s="607"/>
      <c r="AF161" s="607"/>
      <c r="AG161" s="607"/>
      <c r="AH161" s="597">
        <f>IF(AD161="",0,1)</f>
        <v>0</v>
      </c>
    </row>
    <row r="162" spans="2:34" x14ac:dyDescent="0.25">
      <c r="C162" s="35"/>
      <c r="D162" s="35" t="s">
        <v>28</v>
      </c>
      <c r="E162" s="35"/>
      <c r="F162" s="35"/>
      <c r="G162" s="35"/>
      <c r="H162" s="37" t="s">
        <v>356</v>
      </c>
      <c r="I162" s="670"/>
      <c r="J162" s="671"/>
      <c r="K162" s="672"/>
      <c r="L162" s="58" t="s">
        <v>343</v>
      </c>
      <c r="M162" s="670"/>
      <c r="N162" s="671"/>
      <c r="O162" s="672"/>
      <c r="P162" s="670"/>
      <c r="Q162" s="671"/>
      <c r="R162" s="672"/>
      <c r="S162" s="35"/>
      <c r="T162" s="608">
        <v>0</v>
      </c>
      <c r="U162" s="609"/>
      <c r="V162" s="610"/>
      <c r="W162" s="35"/>
      <c r="X162" s="639">
        <f>D3rv1</f>
        <v>0</v>
      </c>
      <c r="Y162" s="640"/>
      <c r="Z162" s="641"/>
      <c r="AA162" s="639">
        <f>D3rv2</f>
        <v>0</v>
      </c>
      <c r="AB162" s="640"/>
      <c r="AC162" s="641"/>
      <c r="AD162" s="606" t="str">
        <f>IF(OR((X$92+X$127+X$162)&gt;1,(AA$92+AA$127+AA$162)&gt;1),"Detoured RVs &gt; 100%","")</f>
        <v/>
      </c>
      <c r="AE162" s="607"/>
      <c r="AF162" s="607"/>
      <c r="AG162" s="607"/>
      <c r="AH162" s="597">
        <f>IF(AD162="",0,1)</f>
        <v>0</v>
      </c>
    </row>
    <row r="163" spans="2:34" x14ac:dyDescent="0.2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H163" s="597"/>
    </row>
    <row r="164" spans="2:34" x14ac:dyDescent="0.25">
      <c r="B164" s="696" t="s">
        <v>339</v>
      </c>
      <c r="C164" s="678"/>
      <c r="D164" s="652" t="s">
        <v>136</v>
      </c>
      <c r="E164" s="653"/>
      <c r="F164" s="653"/>
      <c r="G164" s="653"/>
      <c r="H164" s="653"/>
      <c r="I164" s="653"/>
      <c r="J164" s="653"/>
      <c r="K164" s="654"/>
      <c r="L164" s="593"/>
      <c r="M164" s="696" t="s">
        <v>339</v>
      </c>
      <c r="N164" s="678"/>
      <c r="O164" s="613" t="str">
        <f>IF(OR(D164="No Detour",D164="Both Directions"),"",SecondDirection)</f>
        <v/>
      </c>
      <c r="P164" s="699"/>
      <c r="Q164" s="699"/>
      <c r="R164" s="699"/>
      <c r="S164" s="699"/>
      <c r="T164" s="699"/>
      <c r="U164" s="699"/>
      <c r="V164" s="614"/>
      <c r="W164" s="35"/>
      <c r="X164" s="35"/>
      <c r="Y164" s="35"/>
      <c r="Z164" s="35"/>
      <c r="AA164" s="35"/>
      <c r="AB164" s="35"/>
      <c r="AC164" s="35"/>
      <c r="AD164" s="605" t="str">
        <f>IF(AND(ThirdDetourOption="No Detour",OR(SUM(D168:K187)&gt;0,SUM(O168:V187)&gt;0)),"Change Blue Heading","")</f>
        <v/>
      </c>
      <c r="AE164" s="605"/>
      <c r="AF164" s="605"/>
      <c r="AG164" s="605"/>
      <c r="AH164" s="597">
        <f>IF(AD164="",0,1)</f>
        <v>0</v>
      </c>
    </row>
    <row r="165" spans="2:34" ht="15" customHeight="1" x14ac:dyDescent="0.25">
      <c r="B165" s="697"/>
      <c r="C165" s="698"/>
      <c r="D165" s="676" t="s">
        <v>1094</v>
      </c>
      <c r="E165" s="677"/>
      <c r="F165" s="678"/>
      <c r="G165" s="676" t="s">
        <v>367</v>
      </c>
      <c r="H165" s="678"/>
      <c r="I165" s="35"/>
      <c r="J165" s="676" t="s">
        <v>368</v>
      </c>
      <c r="K165" s="678"/>
      <c r="L165" s="593"/>
      <c r="M165" s="697"/>
      <c r="N165" s="698"/>
      <c r="O165" s="676" t="s">
        <v>1094</v>
      </c>
      <c r="P165" s="677"/>
      <c r="Q165" s="678"/>
      <c r="R165" s="676" t="s">
        <v>367</v>
      </c>
      <c r="S165" s="678"/>
      <c r="T165" s="35"/>
      <c r="U165" s="676" t="s">
        <v>368</v>
      </c>
      <c r="V165" s="678"/>
      <c r="W165" s="35"/>
      <c r="X165" s="35"/>
      <c r="Y165" s="35"/>
      <c r="Z165" s="35"/>
      <c r="AA165" s="35"/>
      <c r="AB165" s="35"/>
      <c r="AC165" s="35"/>
      <c r="AH165" s="598"/>
    </row>
    <row r="166" spans="2:34" x14ac:dyDescent="0.25">
      <c r="B166" s="697"/>
      <c r="C166" s="698"/>
      <c r="D166" s="679"/>
      <c r="E166" s="680"/>
      <c r="F166" s="681"/>
      <c r="G166" s="679"/>
      <c r="H166" s="681"/>
      <c r="I166" s="35"/>
      <c r="J166" s="679"/>
      <c r="K166" s="681"/>
      <c r="L166" s="593"/>
      <c r="M166" s="697"/>
      <c r="N166" s="698"/>
      <c r="O166" s="679"/>
      <c r="P166" s="680"/>
      <c r="Q166" s="681"/>
      <c r="R166" s="679"/>
      <c r="S166" s="681"/>
      <c r="T166" s="35"/>
      <c r="U166" s="679"/>
      <c r="V166" s="681"/>
      <c r="W166" s="35"/>
      <c r="X166" s="35"/>
      <c r="Y166" s="35"/>
      <c r="Z166" s="35"/>
      <c r="AA166" s="35"/>
      <c r="AB166" s="35"/>
      <c r="AC166" s="35"/>
      <c r="AH166" s="598"/>
    </row>
    <row r="167" spans="2:34" x14ac:dyDescent="0.25">
      <c r="B167" s="679"/>
      <c r="C167" s="681"/>
      <c r="D167" s="613" t="s">
        <v>341</v>
      </c>
      <c r="E167" s="699"/>
      <c r="F167" s="614"/>
      <c r="G167" s="613" t="s">
        <v>170</v>
      </c>
      <c r="H167" s="614"/>
      <c r="I167" s="35"/>
      <c r="J167" s="613" t="s">
        <v>342</v>
      </c>
      <c r="K167" s="614"/>
      <c r="L167" s="593"/>
      <c r="M167" s="679"/>
      <c r="N167" s="681"/>
      <c r="O167" s="613" t="s">
        <v>341</v>
      </c>
      <c r="P167" s="699"/>
      <c r="Q167" s="614"/>
      <c r="R167" s="613" t="s">
        <v>170</v>
      </c>
      <c r="S167" s="614"/>
      <c r="T167" s="35"/>
      <c r="U167" s="613" t="s">
        <v>342</v>
      </c>
      <c r="V167" s="614"/>
      <c r="W167" s="35"/>
      <c r="X167" s="35"/>
      <c r="Y167" s="37" t="s">
        <v>534</v>
      </c>
      <c r="Z167" s="35"/>
      <c r="AA167" s="35"/>
      <c r="AB167" s="37" t="s">
        <v>534</v>
      </c>
      <c r="AC167" s="35"/>
      <c r="AH167" s="598"/>
    </row>
    <row r="168" spans="2:34" x14ac:dyDescent="0.25">
      <c r="B168" s="682">
        <v>1</v>
      </c>
      <c r="C168" s="683"/>
      <c r="D168" s="611"/>
      <c r="E168" s="612"/>
      <c r="F168" s="544" t="s">
        <v>89</v>
      </c>
      <c r="G168" s="611"/>
      <c r="H168" s="612"/>
      <c r="I168" s="36" t="s">
        <v>343</v>
      </c>
      <c r="J168" s="611"/>
      <c r="K168" s="612"/>
      <c r="L168" s="593"/>
      <c r="M168" s="682">
        <v>1</v>
      </c>
      <c r="N168" s="683"/>
      <c r="O168" s="611"/>
      <c r="P168" s="612"/>
      <c r="Q168" s="544" t="s">
        <v>89</v>
      </c>
      <c r="R168" s="611"/>
      <c r="S168" s="612"/>
      <c r="T168" s="36" t="s">
        <v>343</v>
      </c>
      <c r="U168" s="611"/>
      <c r="V168" s="612"/>
      <c r="W168" s="35"/>
      <c r="X168" s="687" t="str">
        <f>Values!H162</f>
        <v>-</v>
      </c>
      <c r="Y168" s="688"/>
      <c r="Z168" s="689"/>
      <c r="AA168" s="687" t="str">
        <f>Values!M162</f>
        <v>-</v>
      </c>
      <c r="AB168" s="688"/>
      <c r="AC168" s="689"/>
      <c r="AH168" s="598"/>
    </row>
    <row r="169" spans="2:34" x14ac:dyDescent="0.25">
      <c r="B169" s="682">
        <v>2</v>
      </c>
      <c r="C169" s="683"/>
      <c r="D169" s="611"/>
      <c r="E169" s="612"/>
      <c r="F169" s="544" t="s">
        <v>89</v>
      </c>
      <c r="G169" s="611"/>
      <c r="H169" s="612"/>
      <c r="I169" s="36" t="s">
        <v>343</v>
      </c>
      <c r="J169" s="611"/>
      <c r="K169" s="612"/>
      <c r="L169" s="593"/>
      <c r="M169" s="682">
        <v>2</v>
      </c>
      <c r="N169" s="683"/>
      <c r="O169" s="611"/>
      <c r="P169" s="612"/>
      <c r="Q169" s="544" t="s">
        <v>89</v>
      </c>
      <c r="R169" s="611"/>
      <c r="S169" s="612"/>
      <c r="T169" s="36" t="s">
        <v>343</v>
      </c>
      <c r="U169" s="611"/>
      <c r="V169" s="612"/>
      <c r="W169" s="35"/>
      <c r="X169" s="687" t="str">
        <f>Values!H163</f>
        <v>-</v>
      </c>
      <c r="Y169" s="688"/>
      <c r="Z169" s="689"/>
      <c r="AA169" s="687" t="str">
        <f>Values!M163</f>
        <v>-</v>
      </c>
      <c r="AB169" s="688"/>
      <c r="AC169" s="689"/>
      <c r="AH169" s="598"/>
    </row>
    <row r="170" spans="2:34" x14ac:dyDescent="0.25">
      <c r="B170" s="682">
        <v>3</v>
      </c>
      <c r="C170" s="683"/>
      <c r="D170" s="611"/>
      <c r="E170" s="612"/>
      <c r="F170" s="544" t="s">
        <v>89</v>
      </c>
      <c r="G170" s="611"/>
      <c r="H170" s="612"/>
      <c r="I170" s="36" t="s">
        <v>343</v>
      </c>
      <c r="J170" s="611"/>
      <c r="K170" s="612"/>
      <c r="L170" s="593"/>
      <c r="M170" s="682">
        <v>3</v>
      </c>
      <c r="N170" s="683"/>
      <c r="O170" s="611"/>
      <c r="P170" s="612"/>
      <c r="Q170" s="544" t="s">
        <v>89</v>
      </c>
      <c r="R170" s="611"/>
      <c r="S170" s="612"/>
      <c r="T170" s="36" t="s">
        <v>343</v>
      </c>
      <c r="U170" s="611"/>
      <c r="V170" s="612"/>
      <c r="W170" s="35"/>
      <c r="X170" s="687" t="str">
        <f>Values!H164</f>
        <v>-</v>
      </c>
      <c r="Y170" s="688"/>
      <c r="Z170" s="689"/>
      <c r="AA170" s="687" t="str">
        <f>Values!M164</f>
        <v>-</v>
      </c>
      <c r="AB170" s="688"/>
      <c r="AC170" s="689"/>
      <c r="AH170" s="598"/>
    </row>
    <row r="171" spans="2:34" x14ac:dyDescent="0.25">
      <c r="B171" s="682">
        <v>4</v>
      </c>
      <c r="C171" s="683"/>
      <c r="D171" s="611"/>
      <c r="E171" s="612"/>
      <c r="F171" s="544" t="s">
        <v>89</v>
      </c>
      <c r="G171" s="611"/>
      <c r="H171" s="612"/>
      <c r="I171" s="36" t="s">
        <v>343</v>
      </c>
      <c r="J171" s="611"/>
      <c r="K171" s="612"/>
      <c r="L171" s="593"/>
      <c r="M171" s="682">
        <v>4</v>
      </c>
      <c r="N171" s="683"/>
      <c r="O171" s="611"/>
      <c r="P171" s="612"/>
      <c r="Q171" s="544" t="s">
        <v>89</v>
      </c>
      <c r="R171" s="611"/>
      <c r="S171" s="612"/>
      <c r="T171" s="36" t="s">
        <v>343</v>
      </c>
      <c r="U171" s="611"/>
      <c r="V171" s="612"/>
      <c r="W171" s="35"/>
      <c r="X171" s="687" t="str">
        <f>Values!H165</f>
        <v>-</v>
      </c>
      <c r="Y171" s="688"/>
      <c r="Z171" s="689"/>
      <c r="AA171" s="687" t="str">
        <f>Values!M165</f>
        <v>-</v>
      </c>
      <c r="AB171" s="688"/>
      <c r="AC171" s="689"/>
      <c r="AH171" s="598"/>
    </row>
    <row r="172" spans="2:34" x14ac:dyDescent="0.25">
      <c r="B172" s="682">
        <v>5</v>
      </c>
      <c r="C172" s="683"/>
      <c r="D172" s="611"/>
      <c r="E172" s="612"/>
      <c r="F172" s="544" t="s">
        <v>89</v>
      </c>
      <c r="G172" s="611"/>
      <c r="H172" s="612"/>
      <c r="I172" s="36" t="s">
        <v>343</v>
      </c>
      <c r="J172" s="611"/>
      <c r="K172" s="612"/>
      <c r="L172" s="593"/>
      <c r="M172" s="682">
        <v>5</v>
      </c>
      <c r="N172" s="683"/>
      <c r="O172" s="611"/>
      <c r="P172" s="612"/>
      <c r="Q172" s="544" t="s">
        <v>89</v>
      </c>
      <c r="R172" s="611"/>
      <c r="S172" s="612"/>
      <c r="T172" s="36" t="s">
        <v>343</v>
      </c>
      <c r="U172" s="611"/>
      <c r="V172" s="612"/>
      <c r="W172" s="35"/>
      <c r="X172" s="687" t="str">
        <f>Values!H166</f>
        <v>-</v>
      </c>
      <c r="Y172" s="688"/>
      <c r="Z172" s="689"/>
      <c r="AA172" s="687" t="str">
        <f>Values!M166</f>
        <v>-</v>
      </c>
      <c r="AB172" s="688"/>
      <c r="AC172" s="689"/>
      <c r="AH172" s="598"/>
    </row>
    <row r="173" spans="2:34" x14ac:dyDescent="0.25">
      <c r="B173" s="682">
        <v>6</v>
      </c>
      <c r="C173" s="683"/>
      <c r="D173" s="611"/>
      <c r="E173" s="612"/>
      <c r="F173" s="544" t="s">
        <v>89</v>
      </c>
      <c r="G173" s="611"/>
      <c r="H173" s="612"/>
      <c r="I173" s="36" t="s">
        <v>343</v>
      </c>
      <c r="J173" s="611"/>
      <c r="K173" s="612"/>
      <c r="L173" s="593"/>
      <c r="M173" s="682">
        <v>6</v>
      </c>
      <c r="N173" s="683"/>
      <c r="O173" s="611"/>
      <c r="P173" s="612"/>
      <c r="Q173" s="544" t="s">
        <v>89</v>
      </c>
      <c r="R173" s="611"/>
      <c r="S173" s="612"/>
      <c r="T173" s="36" t="s">
        <v>343</v>
      </c>
      <c r="U173" s="611"/>
      <c r="V173" s="612"/>
      <c r="W173" s="35"/>
      <c r="X173" s="687" t="str">
        <f>Values!H167</f>
        <v>-</v>
      </c>
      <c r="Y173" s="688"/>
      <c r="Z173" s="689"/>
      <c r="AA173" s="687" t="str">
        <f>Values!M167</f>
        <v>-</v>
      </c>
      <c r="AB173" s="688"/>
      <c r="AC173" s="689"/>
      <c r="AH173" s="598"/>
    </row>
    <row r="174" spans="2:34" x14ac:dyDescent="0.25">
      <c r="B174" s="682">
        <v>7</v>
      </c>
      <c r="C174" s="683"/>
      <c r="D174" s="611"/>
      <c r="E174" s="612"/>
      <c r="F174" s="544" t="s">
        <v>89</v>
      </c>
      <c r="G174" s="611"/>
      <c r="H174" s="612"/>
      <c r="I174" s="36" t="s">
        <v>343</v>
      </c>
      <c r="J174" s="611"/>
      <c r="K174" s="612"/>
      <c r="L174" s="593"/>
      <c r="M174" s="682">
        <v>7</v>
      </c>
      <c r="N174" s="683"/>
      <c r="O174" s="611"/>
      <c r="P174" s="612"/>
      <c r="Q174" s="544" t="s">
        <v>89</v>
      </c>
      <c r="R174" s="611"/>
      <c r="S174" s="612"/>
      <c r="T174" s="36" t="s">
        <v>343</v>
      </c>
      <c r="U174" s="611"/>
      <c r="V174" s="612"/>
      <c r="W174" s="35"/>
      <c r="X174" s="687" t="str">
        <f>Values!H168</f>
        <v>-</v>
      </c>
      <c r="Y174" s="688"/>
      <c r="Z174" s="689"/>
      <c r="AA174" s="687" t="str">
        <f>Values!M168</f>
        <v>-</v>
      </c>
      <c r="AB174" s="688"/>
      <c r="AC174" s="689"/>
      <c r="AH174" s="598"/>
    </row>
    <row r="175" spans="2:34" x14ac:dyDescent="0.25">
      <c r="B175" s="682">
        <v>8</v>
      </c>
      <c r="C175" s="683"/>
      <c r="D175" s="611"/>
      <c r="E175" s="612"/>
      <c r="F175" s="544" t="s">
        <v>89</v>
      </c>
      <c r="G175" s="611"/>
      <c r="H175" s="612"/>
      <c r="I175" s="36" t="s">
        <v>343</v>
      </c>
      <c r="J175" s="611"/>
      <c r="K175" s="612"/>
      <c r="L175" s="593"/>
      <c r="M175" s="682">
        <v>8</v>
      </c>
      <c r="N175" s="683"/>
      <c r="O175" s="611"/>
      <c r="P175" s="612"/>
      <c r="Q175" s="544" t="s">
        <v>89</v>
      </c>
      <c r="R175" s="611"/>
      <c r="S175" s="612"/>
      <c r="T175" s="36" t="s">
        <v>343</v>
      </c>
      <c r="U175" s="611"/>
      <c r="V175" s="612"/>
      <c r="W175" s="35"/>
      <c r="X175" s="687" t="str">
        <f>Values!H169</f>
        <v>-</v>
      </c>
      <c r="Y175" s="688"/>
      <c r="Z175" s="689"/>
      <c r="AA175" s="687" t="str">
        <f>Values!M169</f>
        <v>-</v>
      </c>
      <c r="AB175" s="688"/>
      <c r="AC175" s="689"/>
      <c r="AH175" s="598"/>
    </row>
    <row r="176" spans="2:34" x14ac:dyDescent="0.25">
      <c r="B176" s="682">
        <v>9</v>
      </c>
      <c r="C176" s="683"/>
      <c r="D176" s="611"/>
      <c r="E176" s="612"/>
      <c r="F176" s="544" t="s">
        <v>89</v>
      </c>
      <c r="G176" s="611"/>
      <c r="H176" s="612"/>
      <c r="I176" s="36" t="s">
        <v>343</v>
      </c>
      <c r="J176" s="611"/>
      <c r="K176" s="612"/>
      <c r="L176" s="593"/>
      <c r="M176" s="682">
        <v>9</v>
      </c>
      <c r="N176" s="683"/>
      <c r="O176" s="611"/>
      <c r="P176" s="612"/>
      <c r="Q176" s="544" t="s">
        <v>89</v>
      </c>
      <c r="R176" s="611"/>
      <c r="S176" s="612"/>
      <c r="T176" s="36" t="s">
        <v>343</v>
      </c>
      <c r="U176" s="611"/>
      <c r="V176" s="612"/>
      <c r="W176" s="35"/>
      <c r="X176" s="687" t="str">
        <f>Values!H170</f>
        <v>-</v>
      </c>
      <c r="Y176" s="688"/>
      <c r="Z176" s="689"/>
      <c r="AA176" s="687" t="str">
        <f>Values!M170</f>
        <v>-</v>
      </c>
      <c r="AB176" s="688"/>
      <c r="AC176" s="689"/>
      <c r="AH176" s="598"/>
    </row>
    <row r="177" spans="2:34" x14ac:dyDescent="0.25">
      <c r="B177" s="682">
        <v>10</v>
      </c>
      <c r="C177" s="683"/>
      <c r="D177" s="611"/>
      <c r="E177" s="612"/>
      <c r="F177" s="544" t="s">
        <v>89</v>
      </c>
      <c r="G177" s="611"/>
      <c r="H177" s="612"/>
      <c r="I177" s="36" t="s">
        <v>343</v>
      </c>
      <c r="J177" s="611"/>
      <c r="K177" s="612"/>
      <c r="L177" s="593"/>
      <c r="M177" s="682">
        <v>10</v>
      </c>
      <c r="N177" s="683"/>
      <c r="O177" s="611"/>
      <c r="P177" s="612"/>
      <c r="Q177" s="544" t="s">
        <v>89</v>
      </c>
      <c r="R177" s="611"/>
      <c r="S177" s="612"/>
      <c r="T177" s="36" t="s">
        <v>343</v>
      </c>
      <c r="U177" s="611"/>
      <c r="V177" s="612"/>
      <c r="W177" s="35"/>
      <c r="X177" s="687" t="str">
        <f>Values!H171</f>
        <v>-</v>
      </c>
      <c r="Y177" s="688"/>
      <c r="Z177" s="689"/>
      <c r="AA177" s="687" t="str">
        <f>Values!M171</f>
        <v>-</v>
      </c>
      <c r="AB177" s="688"/>
      <c r="AC177" s="689"/>
      <c r="AH177" s="598"/>
    </row>
    <row r="178" spans="2:34" x14ac:dyDescent="0.25">
      <c r="B178" s="682">
        <v>11</v>
      </c>
      <c r="C178" s="683"/>
      <c r="D178" s="611"/>
      <c r="E178" s="612"/>
      <c r="F178" s="544" t="s">
        <v>89</v>
      </c>
      <c r="G178" s="611"/>
      <c r="H178" s="612"/>
      <c r="I178" s="36" t="s">
        <v>343</v>
      </c>
      <c r="J178" s="611"/>
      <c r="K178" s="612"/>
      <c r="L178" s="593"/>
      <c r="M178" s="682">
        <v>11</v>
      </c>
      <c r="N178" s="683"/>
      <c r="O178" s="611"/>
      <c r="P178" s="612"/>
      <c r="Q178" s="544" t="s">
        <v>89</v>
      </c>
      <c r="R178" s="611"/>
      <c r="S178" s="612"/>
      <c r="T178" s="36" t="s">
        <v>343</v>
      </c>
      <c r="U178" s="611"/>
      <c r="V178" s="612"/>
      <c r="W178" s="35"/>
      <c r="X178" s="687" t="str">
        <f>Values!H172</f>
        <v>-</v>
      </c>
      <c r="Y178" s="688"/>
      <c r="Z178" s="689"/>
      <c r="AA178" s="687" t="str">
        <f>Values!M172</f>
        <v>-</v>
      </c>
      <c r="AB178" s="688"/>
      <c r="AC178" s="689"/>
      <c r="AH178" s="598"/>
    </row>
    <row r="179" spans="2:34" x14ac:dyDescent="0.25">
      <c r="B179" s="682">
        <v>12</v>
      </c>
      <c r="C179" s="683"/>
      <c r="D179" s="611"/>
      <c r="E179" s="612"/>
      <c r="F179" s="544" t="s">
        <v>89</v>
      </c>
      <c r="G179" s="611"/>
      <c r="H179" s="612"/>
      <c r="I179" s="36" t="s">
        <v>343</v>
      </c>
      <c r="J179" s="611"/>
      <c r="K179" s="612"/>
      <c r="L179" s="593"/>
      <c r="M179" s="682">
        <v>12</v>
      </c>
      <c r="N179" s="683"/>
      <c r="O179" s="611"/>
      <c r="P179" s="612"/>
      <c r="Q179" s="544" t="s">
        <v>89</v>
      </c>
      <c r="R179" s="611"/>
      <c r="S179" s="612"/>
      <c r="T179" s="36" t="s">
        <v>343</v>
      </c>
      <c r="U179" s="611"/>
      <c r="V179" s="612"/>
      <c r="W179" s="35"/>
      <c r="X179" s="687" t="str">
        <f>Values!H173</f>
        <v>-</v>
      </c>
      <c r="Y179" s="688"/>
      <c r="Z179" s="689"/>
      <c r="AA179" s="687" t="str">
        <f>Values!M173</f>
        <v>-</v>
      </c>
      <c r="AB179" s="688"/>
      <c r="AC179" s="689"/>
      <c r="AH179" s="598"/>
    </row>
    <row r="180" spans="2:34" x14ac:dyDescent="0.25">
      <c r="B180" s="682">
        <v>13</v>
      </c>
      <c r="C180" s="683"/>
      <c r="D180" s="611"/>
      <c r="E180" s="612"/>
      <c r="F180" s="544" t="s">
        <v>89</v>
      </c>
      <c r="G180" s="611"/>
      <c r="H180" s="612"/>
      <c r="I180" s="36" t="s">
        <v>343</v>
      </c>
      <c r="J180" s="611"/>
      <c r="K180" s="612"/>
      <c r="L180" s="593"/>
      <c r="M180" s="682">
        <v>13</v>
      </c>
      <c r="N180" s="683"/>
      <c r="O180" s="611"/>
      <c r="P180" s="612"/>
      <c r="Q180" s="544" t="s">
        <v>89</v>
      </c>
      <c r="R180" s="611"/>
      <c r="S180" s="612"/>
      <c r="T180" s="36" t="s">
        <v>343</v>
      </c>
      <c r="U180" s="611"/>
      <c r="V180" s="612"/>
      <c r="W180" s="35"/>
      <c r="X180" s="687" t="str">
        <f>Values!H174</f>
        <v>-</v>
      </c>
      <c r="Y180" s="688"/>
      <c r="Z180" s="689"/>
      <c r="AA180" s="687" t="str">
        <f>Values!M174</f>
        <v>-</v>
      </c>
      <c r="AB180" s="688"/>
      <c r="AC180" s="689"/>
      <c r="AH180" s="598"/>
    </row>
    <row r="181" spans="2:34" x14ac:dyDescent="0.25">
      <c r="B181" s="682">
        <v>14</v>
      </c>
      <c r="C181" s="683"/>
      <c r="D181" s="611"/>
      <c r="E181" s="612"/>
      <c r="F181" s="544" t="s">
        <v>89</v>
      </c>
      <c r="G181" s="611"/>
      <c r="H181" s="612"/>
      <c r="I181" s="36" t="s">
        <v>343</v>
      </c>
      <c r="J181" s="611"/>
      <c r="K181" s="612"/>
      <c r="L181" s="593"/>
      <c r="M181" s="682">
        <v>14</v>
      </c>
      <c r="N181" s="683"/>
      <c r="O181" s="611"/>
      <c r="P181" s="612"/>
      <c r="Q181" s="544" t="s">
        <v>89</v>
      </c>
      <c r="R181" s="611"/>
      <c r="S181" s="612"/>
      <c r="T181" s="36" t="s">
        <v>343</v>
      </c>
      <c r="U181" s="611"/>
      <c r="V181" s="612"/>
      <c r="W181" s="35"/>
      <c r="X181" s="687" t="str">
        <f>Values!H175</f>
        <v>-</v>
      </c>
      <c r="Y181" s="688"/>
      <c r="Z181" s="689"/>
      <c r="AA181" s="687" t="str">
        <f>Values!M175</f>
        <v>-</v>
      </c>
      <c r="AB181" s="688"/>
      <c r="AC181" s="689"/>
      <c r="AH181" s="598"/>
    </row>
    <row r="182" spans="2:34" x14ac:dyDescent="0.25">
      <c r="B182" s="682">
        <v>15</v>
      </c>
      <c r="C182" s="683"/>
      <c r="D182" s="611"/>
      <c r="E182" s="612"/>
      <c r="F182" s="544" t="s">
        <v>89</v>
      </c>
      <c r="G182" s="611"/>
      <c r="H182" s="612"/>
      <c r="I182" s="36" t="s">
        <v>343</v>
      </c>
      <c r="J182" s="611"/>
      <c r="K182" s="612"/>
      <c r="L182" s="593"/>
      <c r="M182" s="682">
        <v>15</v>
      </c>
      <c r="N182" s="683"/>
      <c r="O182" s="611"/>
      <c r="P182" s="612"/>
      <c r="Q182" s="544" t="s">
        <v>89</v>
      </c>
      <c r="R182" s="611"/>
      <c r="S182" s="612"/>
      <c r="T182" s="36" t="s">
        <v>343</v>
      </c>
      <c r="U182" s="611"/>
      <c r="V182" s="612"/>
      <c r="W182" s="35"/>
      <c r="X182" s="687" t="str">
        <f>Values!H176</f>
        <v>-</v>
      </c>
      <c r="Y182" s="688"/>
      <c r="Z182" s="689"/>
      <c r="AA182" s="687" t="str">
        <f>Values!M176</f>
        <v>-</v>
      </c>
      <c r="AB182" s="688"/>
      <c r="AC182" s="689"/>
      <c r="AH182" s="598"/>
    </row>
    <row r="183" spans="2:34" x14ac:dyDescent="0.25">
      <c r="B183" s="682">
        <v>16</v>
      </c>
      <c r="C183" s="683"/>
      <c r="D183" s="611"/>
      <c r="E183" s="612"/>
      <c r="F183" s="544" t="s">
        <v>89</v>
      </c>
      <c r="G183" s="611"/>
      <c r="H183" s="612"/>
      <c r="I183" s="36" t="s">
        <v>343</v>
      </c>
      <c r="J183" s="611"/>
      <c r="K183" s="612"/>
      <c r="L183" s="593"/>
      <c r="M183" s="682">
        <v>16</v>
      </c>
      <c r="N183" s="683"/>
      <c r="O183" s="611"/>
      <c r="P183" s="612"/>
      <c r="Q183" s="544" t="s">
        <v>89</v>
      </c>
      <c r="R183" s="611"/>
      <c r="S183" s="612"/>
      <c r="T183" s="36" t="s">
        <v>343</v>
      </c>
      <c r="U183" s="611"/>
      <c r="V183" s="612"/>
      <c r="W183" s="35"/>
      <c r="X183" s="687" t="str">
        <f>Values!H177</f>
        <v>-</v>
      </c>
      <c r="Y183" s="688"/>
      <c r="Z183" s="689"/>
      <c r="AA183" s="687" t="str">
        <f>Values!M177</f>
        <v>-</v>
      </c>
      <c r="AB183" s="688"/>
      <c r="AC183" s="689"/>
      <c r="AH183" s="598"/>
    </row>
    <row r="184" spans="2:34" x14ac:dyDescent="0.25">
      <c r="B184" s="682">
        <v>17</v>
      </c>
      <c r="C184" s="683"/>
      <c r="D184" s="611"/>
      <c r="E184" s="612"/>
      <c r="F184" s="544" t="s">
        <v>89</v>
      </c>
      <c r="G184" s="611"/>
      <c r="H184" s="612"/>
      <c r="I184" s="36" t="s">
        <v>343</v>
      </c>
      <c r="J184" s="611"/>
      <c r="K184" s="612"/>
      <c r="L184" s="593"/>
      <c r="M184" s="682">
        <v>17</v>
      </c>
      <c r="N184" s="683"/>
      <c r="O184" s="611"/>
      <c r="P184" s="612"/>
      <c r="Q184" s="544" t="s">
        <v>89</v>
      </c>
      <c r="R184" s="611"/>
      <c r="S184" s="612"/>
      <c r="T184" s="36" t="s">
        <v>343</v>
      </c>
      <c r="U184" s="611"/>
      <c r="V184" s="612"/>
      <c r="W184" s="35"/>
      <c r="X184" s="687" t="str">
        <f>Values!H178</f>
        <v>-</v>
      </c>
      <c r="Y184" s="688"/>
      <c r="Z184" s="689"/>
      <c r="AA184" s="687" t="str">
        <f>Values!M178</f>
        <v>-</v>
      </c>
      <c r="AB184" s="688"/>
      <c r="AC184" s="689"/>
      <c r="AH184" s="598"/>
    </row>
    <row r="185" spans="2:34" x14ac:dyDescent="0.25">
      <c r="B185" s="682">
        <v>18</v>
      </c>
      <c r="C185" s="683"/>
      <c r="D185" s="611"/>
      <c r="E185" s="612"/>
      <c r="F185" s="544" t="s">
        <v>89</v>
      </c>
      <c r="G185" s="611"/>
      <c r="H185" s="612"/>
      <c r="I185" s="36" t="s">
        <v>343</v>
      </c>
      <c r="J185" s="611"/>
      <c r="K185" s="612"/>
      <c r="L185" s="593"/>
      <c r="M185" s="682">
        <v>18</v>
      </c>
      <c r="N185" s="683"/>
      <c r="O185" s="611"/>
      <c r="P185" s="612"/>
      <c r="Q185" s="544" t="s">
        <v>89</v>
      </c>
      <c r="R185" s="611"/>
      <c r="S185" s="612"/>
      <c r="T185" s="36" t="s">
        <v>343</v>
      </c>
      <c r="U185" s="611"/>
      <c r="V185" s="612"/>
      <c r="W185" s="35"/>
      <c r="X185" s="687" t="str">
        <f>Values!H179</f>
        <v>-</v>
      </c>
      <c r="Y185" s="688"/>
      <c r="Z185" s="689"/>
      <c r="AA185" s="687" t="str">
        <f>Values!M179</f>
        <v>-</v>
      </c>
      <c r="AB185" s="688"/>
      <c r="AC185" s="689"/>
      <c r="AH185" s="598"/>
    </row>
    <row r="186" spans="2:34" x14ac:dyDescent="0.25">
      <c r="B186" s="682">
        <v>19</v>
      </c>
      <c r="C186" s="683"/>
      <c r="D186" s="611"/>
      <c r="E186" s="612"/>
      <c r="F186" s="544" t="s">
        <v>89</v>
      </c>
      <c r="G186" s="611"/>
      <c r="H186" s="612"/>
      <c r="I186" s="36" t="s">
        <v>343</v>
      </c>
      <c r="J186" s="611"/>
      <c r="K186" s="612"/>
      <c r="L186" s="593"/>
      <c r="M186" s="682">
        <v>19</v>
      </c>
      <c r="N186" s="683"/>
      <c r="O186" s="611"/>
      <c r="P186" s="612"/>
      <c r="Q186" s="544" t="s">
        <v>89</v>
      </c>
      <c r="R186" s="611"/>
      <c r="S186" s="612"/>
      <c r="T186" s="36" t="s">
        <v>343</v>
      </c>
      <c r="U186" s="611"/>
      <c r="V186" s="612"/>
      <c r="W186" s="35"/>
      <c r="X186" s="687" t="str">
        <f>Values!H180</f>
        <v>-</v>
      </c>
      <c r="Y186" s="688"/>
      <c r="Z186" s="689"/>
      <c r="AA186" s="687" t="str">
        <f>Values!M180</f>
        <v>-</v>
      </c>
      <c r="AB186" s="688"/>
      <c r="AC186" s="689"/>
      <c r="AH186" s="598"/>
    </row>
    <row r="187" spans="2:34" x14ac:dyDescent="0.25">
      <c r="B187" s="682">
        <v>20</v>
      </c>
      <c r="C187" s="683"/>
      <c r="D187" s="611"/>
      <c r="E187" s="612"/>
      <c r="F187" s="544" t="s">
        <v>89</v>
      </c>
      <c r="G187" s="611"/>
      <c r="H187" s="612"/>
      <c r="I187" s="36" t="s">
        <v>343</v>
      </c>
      <c r="J187" s="611"/>
      <c r="K187" s="612"/>
      <c r="L187" s="593"/>
      <c r="M187" s="682">
        <v>20</v>
      </c>
      <c r="N187" s="683"/>
      <c r="O187" s="611"/>
      <c r="P187" s="612"/>
      <c r="Q187" s="544" t="s">
        <v>89</v>
      </c>
      <c r="R187" s="611"/>
      <c r="S187" s="612"/>
      <c r="T187" s="36" t="s">
        <v>343</v>
      </c>
      <c r="U187" s="611"/>
      <c r="V187" s="612"/>
      <c r="W187" s="35"/>
      <c r="X187" s="687" t="str">
        <f>Values!H181</f>
        <v>-</v>
      </c>
      <c r="Y187" s="688"/>
      <c r="Z187" s="689"/>
      <c r="AA187" s="687" t="str">
        <f>Values!M181</f>
        <v>-</v>
      </c>
      <c r="AB187" s="688"/>
      <c r="AC187" s="689"/>
      <c r="AH187" s="598"/>
    </row>
    <row r="188" spans="2:34" x14ac:dyDescent="0.25">
      <c r="B188" s="613" t="s">
        <v>239</v>
      </c>
      <c r="C188" s="614"/>
      <c r="D188" s="665" t="str">
        <f>D3length1</f>
        <v/>
      </c>
      <c r="E188" s="666"/>
      <c r="F188" s="185" t="s">
        <v>89</v>
      </c>
      <c r="G188" s="35"/>
      <c r="H188" s="35"/>
      <c r="I188" s="35"/>
      <c r="J188" s="35"/>
      <c r="K188" s="35"/>
      <c r="L188" s="568"/>
      <c r="M188" s="613" t="s">
        <v>239</v>
      </c>
      <c r="N188" s="614"/>
      <c r="O188" s="665" t="str">
        <f>D3length2</f>
        <v/>
      </c>
      <c r="P188" s="666"/>
      <c r="Q188" s="185" t="s">
        <v>89</v>
      </c>
      <c r="R188" s="35"/>
      <c r="S188" s="35"/>
      <c r="T188" s="35"/>
      <c r="U188" s="35"/>
      <c r="V188" s="35"/>
      <c r="W188" s="35"/>
      <c r="X188" s="690">
        <f>D3time1</f>
        <v>0</v>
      </c>
      <c r="Y188" s="691"/>
      <c r="Z188" s="692"/>
      <c r="AA188" s="690">
        <f>D3time2</f>
        <v>0</v>
      </c>
      <c r="AB188" s="691"/>
      <c r="AC188" s="692"/>
      <c r="AH188" s="598"/>
    </row>
  </sheetData>
  <sheetProtection algorithmName="SHA-512" hashValue="OeVTLWaQj+QH1Sn3IOIK8uRWsUUJU/4w2eJdjffbqdVfARjLQII5pG/O0E4rIrbsS0y9WYHgyQZgrvgAYEAHBA==" saltValue="l/JdDp776ouJyWelXHKWZg==" spinCount="100000" sheet="1" objects="1" scenarios="1"/>
  <dataConsolidate/>
  <mergeCells count="1042">
    <mergeCell ref="AD14:AG14"/>
    <mergeCell ref="AD13:AG13"/>
    <mergeCell ref="I59:J59"/>
    <mergeCell ref="M59:N59"/>
    <mergeCell ref="P59:Q59"/>
    <mergeCell ref="I62:K62"/>
    <mergeCell ref="M62:O62"/>
    <mergeCell ref="P62:R62"/>
    <mergeCell ref="T62:V62"/>
    <mergeCell ref="X62:Z62"/>
    <mergeCell ref="AA62:AC62"/>
    <mergeCell ref="I63:K63"/>
    <mergeCell ref="M63:O63"/>
    <mergeCell ref="P63:R63"/>
    <mergeCell ref="T63:V63"/>
    <mergeCell ref="X63:Z63"/>
    <mergeCell ref="AA63:AC63"/>
    <mergeCell ref="I58:K58"/>
    <mergeCell ref="I60:K60"/>
    <mergeCell ref="X60:Z60"/>
    <mergeCell ref="AA60:AC60"/>
    <mergeCell ref="X61:Z61"/>
    <mergeCell ref="AD48:AG48"/>
    <mergeCell ref="P38:R38"/>
    <mergeCell ref="M36:O36"/>
    <mergeCell ref="I24:R24"/>
    <mergeCell ref="X24:AC24"/>
    <mergeCell ref="X51:Z51"/>
    <mergeCell ref="AA41:AC41"/>
    <mergeCell ref="X41:Z41"/>
    <mergeCell ref="T40:V40"/>
    <mergeCell ref="M43:O43"/>
    <mergeCell ref="X68:Z68"/>
    <mergeCell ref="AA68:AC68"/>
    <mergeCell ref="M118:N118"/>
    <mergeCell ref="M129:N132"/>
    <mergeCell ref="M133:N133"/>
    <mergeCell ref="M134:N134"/>
    <mergeCell ref="X11:AC11"/>
    <mergeCell ref="AD11:AG11"/>
    <mergeCell ref="M94:N97"/>
    <mergeCell ref="M98:N98"/>
    <mergeCell ref="M99:N99"/>
    <mergeCell ref="M100:N100"/>
    <mergeCell ref="M101:N101"/>
    <mergeCell ref="M102:N102"/>
    <mergeCell ref="M103:N103"/>
    <mergeCell ref="AD59:AG59"/>
    <mergeCell ref="AD58:AG58"/>
    <mergeCell ref="P35:Q35"/>
    <mergeCell ref="P37:R37"/>
    <mergeCell ref="X59:Z59"/>
    <mergeCell ref="AA59:AC59"/>
    <mergeCell ref="X53:Z53"/>
    <mergeCell ref="AA53:AC53"/>
    <mergeCell ref="T54:V54"/>
    <mergeCell ref="T38:V38"/>
    <mergeCell ref="AD52:AG53"/>
    <mergeCell ref="AD35:AG35"/>
    <mergeCell ref="AD28:AG28"/>
    <mergeCell ref="AD51:AG51"/>
    <mergeCell ref="AD17:AG17"/>
    <mergeCell ref="AD16:AG16"/>
    <mergeCell ref="AD15:AG15"/>
    <mergeCell ref="P43:R43"/>
    <mergeCell ref="I34:K34"/>
    <mergeCell ref="I40:K40"/>
    <mergeCell ref="I49:K49"/>
    <mergeCell ref="M49:R49"/>
    <mergeCell ref="I42:K42"/>
    <mergeCell ref="T24:V24"/>
    <mergeCell ref="T48:V48"/>
    <mergeCell ref="T43:V43"/>
    <mergeCell ref="X43:Z43"/>
    <mergeCell ref="AA43:AC43"/>
    <mergeCell ref="X64:Z64"/>
    <mergeCell ref="AA64:AC64"/>
    <mergeCell ref="I47:K47"/>
    <mergeCell ref="M47:O47"/>
    <mergeCell ref="M53:O53"/>
    <mergeCell ref="X50:Z50"/>
    <mergeCell ref="AA50:AC50"/>
    <mergeCell ref="I38:K38"/>
    <mergeCell ref="X58:Z58"/>
    <mergeCell ref="X54:Z54"/>
    <mergeCell ref="AA61:AC61"/>
    <mergeCell ref="T52:V52"/>
    <mergeCell ref="X34:Z34"/>
    <mergeCell ref="AA34:AC34"/>
    <mergeCell ref="X36:Z36"/>
    <mergeCell ref="AA36:AC36"/>
    <mergeCell ref="AA35:AC35"/>
    <mergeCell ref="X35:Z35"/>
    <mergeCell ref="T37:V37"/>
    <mergeCell ref="X37:Z37"/>
    <mergeCell ref="AA37:AC37"/>
    <mergeCell ref="I13:R13"/>
    <mergeCell ref="AD12:AG12"/>
    <mergeCell ref="X40:Z40"/>
    <mergeCell ref="I32:K32"/>
    <mergeCell ref="P34:R34"/>
    <mergeCell ref="P40:R40"/>
    <mergeCell ref="M35:N35"/>
    <mergeCell ref="AD47:AG47"/>
    <mergeCell ref="AD34:AG34"/>
    <mergeCell ref="M40:O40"/>
    <mergeCell ref="M34:O34"/>
    <mergeCell ref="I36:K36"/>
    <mergeCell ref="I37:K37"/>
    <mergeCell ref="M37:O37"/>
    <mergeCell ref="I39:K39"/>
    <mergeCell ref="I35:J35"/>
    <mergeCell ref="P42:R42"/>
    <mergeCell ref="I43:K43"/>
    <mergeCell ref="M41:O41"/>
    <mergeCell ref="P41:R41"/>
    <mergeCell ref="M38:O38"/>
    <mergeCell ref="M42:O42"/>
    <mergeCell ref="I41:K41"/>
    <mergeCell ref="AA39:AC39"/>
    <mergeCell ref="X13:AC13"/>
    <mergeCell ref="X14:AC14"/>
    <mergeCell ref="X15:AC15"/>
    <mergeCell ref="AD22:AG22"/>
    <mergeCell ref="X16:AC16"/>
    <mergeCell ref="I23:R23"/>
    <mergeCell ref="I22:R22"/>
    <mergeCell ref="P47:R47"/>
    <mergeCell ref="AD42:AG42"/>
    <mergeCell ref="I11:R11"/>
    <mergeCell ref="X12:AC12"/>
    <mergeCell ref="I6:R6"/>
    <mergeCell ref="AD162:AG162"/>
    <mergeCell ref="AD89:AG89"/>
    <mergeCell ref="AD90:AG90"/>
    <mergeCell ref="AD91:AG91"/>
    <mergeCell ref="AD92:AG92"/>
    <mergeCell ref="AD124:AG124"/>
    <mergeCell ref="AD125:AG125"/>
    <mergeCell ref="AD126:AG126"/>
    <mergeCell ref="AD127:AG127"/>
    <mergeCell ref="AD94:AG94"/>
    <mergeCell ref="AD129:AG129"/>
    <mergeCell ref="P79:R79"/>
    <mergeCell ref="I81:K81"/>
    <mergeCell ref="M80:O80"/>
    <mergeCell ref="P80:R80"/>
    <mergeCell ref="I78:K78"/>
    <mergeCell ref="M78:O78"/>
    <mergeCell ref="P78:R78"/>
    <mergeCell ref="I73:K73"/>
    <mergeCell ref="I67:K67"/>
    <mergeCell ref="I68:K68"/>
    <mergeCell ref="M68:O68"/>
    <mergeCell ref="P68:R68"/>
    <mergeCell ref="M58:O58"/>
    <mergeCell ref="I52:K52"/>
    <mergeCell ref="J99:K99"/>
    <mergeCell ref="X92:Z92"/>
    <mergeCell ref="AA92:AC92"/>
    <mergeCell ref="D4:G4"/>
    <mergeCell ref="N1:Q1"/>
    <mergeCell ref="D3:G3"/>
    <mergeCell ref="D2:G2"/>
    <mergeCell ref="D1:G1"/>
    <mergeCell ref="N4:Q4"/>
    <mergeCell ref="AD159:AG159"/>
    <mergeCell ref="AD160:AG160"/>
    <mergeCell ref="AD161:AG161"/>
    <mergeCell ref="X48:Z48"/>
    <mergeCell ref="P52:R52"/>
    <mergeCell ref="P53:R53"/>
    <mergeCell ref="Y2:AB2"/>
    <mergeCell ref="X6:AC6"/>
    <mergeCell ref="T6:V6"/>
    <mergeCell ref="T36:V36"/>
    <mergeCell ref="P36:R36"/>
    <mergeCell ref="AD6:AG6"/>
    <mergeCell ref="I65:K65"/>
    <mergeCell ref="I66:K66"/>
    <mergeCell ref="M65:O65"/>
    <mergeCell ref="M66:O66"/>
    <mergeCell ref="P65:R65"/>
    <mergeCell ref="M81:O81"/>
    <mergeCell ref="P81:R81"/>
    <mergeCell ref="I82:K82"/>
    <mergeCell ref="M82:O82"/>
    <mergeCell ref="P82:R82"/>
    <mergeCell ref="I89:K89"/>
    <mergeCell ref="M89:O89"/>
    <mergeCell ref="I79:K79"/>
    <mergeCell ref="M79:O79"/>
    <mergeCell ref="B1:C4"/>
    <mergeCell ref="B8:AG8"/>
    <mergeCell ref="B7:AG7"/>
    <mergeCell ref="P32:R32"/>
    <mergeCell ref="M32:O32"/>
    <mergeCell ref="T29:V29"/>
    <mergeCell ref="X28:AC28"/>
    <mergeCell ref="X29:AC29"/>
    <mergeCell ref="X30:AC30"/>
    <mergeCell ref="I30:R30"/>
    <mergeCell ref="I29:R29"/>
    <mergeCell ref="I28:R28"/>
    <mergeCell ref="T30:V30"/>
    <mergeCell ref="AD32:AG32"/>
    <mergeCell ref="T32:V32"/>
    <mergeCell ref="AA32:AC32"/>
    <mergeCell ref="X32:Z32"/>
    <mergeCell ref="Y1:AB1"/>
    <mergeCell ref="N3:Q3"/>
    <mergeCell ref="N2:Q2"/>
    <mergeCell ref="X23:AC23"/>
    <mergeCell ref="I16:R16"/>
    <mergeCell ref="I15:R15"/>
    <mergeCell ref="I14:R14"/>
    <mergeCell ref="T21:V21"/>
    <mergeCell ref="T22:V22"/>
    <mergeCell ref="T23:V23"/>
    <mergeCell ref="X21:AC21"/>
    <mergeCell ref="X22:AC22"/>
    <mergeCell ref="I17:R17"/>
    <mergeCell ref="X17:AC17"/>
    <mergeCell ref="I12:R12"/>
    <mergeCell ref="B98:C98"/>
    <mergeCell ref="D98:E98"/>
    <mergeCell ref="B99:C99"/>
    <mergeCell ref="B100:C100"/>
    <mergeCell ref="I80:K80"/>
    <mergeCell ref="I90:K90"/>
    <mergeCell ref="X90:Z90"/>
    <mergeCell ref="AA90:AC90"/>
    <mergeCell ref="X91:Z91"/>
    <mergeCell ref="AA91:AC91"/>
    <mergeCell ref="M90:O90"/>
    <mergeCell ref="P90:R90"/>
    <mergeCell ref="I91:K91"/>
    <mergeCell ref="M91:O91"/>
    <mergeCell ref="P91:R91"/>
    <mergeCell ref="AA82:AC82"/>
    <mergeCell ref="X80:Z80"/>
    <mergeCell ref="AA80:AC80"/>
    <mergeCell ref="X81:Z81"/>
    <mergeCell ref="AA81:AC81"/>
    <mergeCell ref="T90:V90"/>
    <mergeCell ref="T91:V91"/>
    <mergeCell ref="U95:V96"/>
    <mergeCell ref="O97:Q97"/>
    <mergeCell ref="R97:S97"/>
    <mergeCell ref="U97:V97"/>
    <mergeCell ref="I92:K92"/>
    <mergeCell ref="M92:O92"/>
    <mergeCell ref="D99:E99"/>
    <mergeCell ref="G99:H99"/>
    <mergeCell ref="X98:Z98"/>
    <mergeCell ref="AA98:AC98"/>
    <mergeCell ref="C86:G86"/>
    <mergeCell ref="C156:G156"/>
    <mergeCell ref="C121:G121"/>
    <mergeCell ref="X89:Z89"/>
    <mergeCell ref="AA89:AC89"/>
    <mergeCell ref="I88:K88"/>
    <mergeCell ref="M88:O88"/>
    <mergeCell ref="P88:R88"/>
    <mergeCell ref="B94:C97"/>
    <mergeCell ref="O94:V94"/>
    <mergeCell ref="D94:K94"/>
    <mergeCell ref="D95:F96"/>
    <mergeCell ref="G95:H96"/>
    <mergeCell ref="J95:K96"/>
    <mergeCell ref="J97:K97"/>
    <mergeCell ref="G97:H97"/>
    <mergeCell ref="P89:R89"/>
    <mergeCell ref="D97:F97"/>
    <mergeCell ref="B101:C101"/>
    <mergeCell ref="B102:C102"/>
    <mergeCell ref="B103:C103"/>
    <mergeCell ref="B104:C104"/>
    <mergeCell ref="B105:C105"/>
    <mergeCell ref="B106:C106"/>
    <mergeCell ref="J98:K98"/>
    <mergeCell ref="G98:H98"/>
    <mergeCell ref="B117:C117"/>
    <mergeCell ref="B118:C118"/>
    <mergeCell ref="B107:C107"/>
    <mergeCell ref="B108:C108"/>
    <mergeCell ref="D107:E107"/>
    <mergeCell ref="G107:H107"/>
    <mergeCell ref="J107:K107"/>
    <mergeCell ref="D108:E108"/>
    <mergeCell ref="G108:H108"/>
    <mergeCell ref="J108:K108"/>
    <mergeCell ref="D105:E105"/>
    <mergeCell ref="G105:H105"/>
    <mergeCell ref="J105:K105"/>
    <mergeCell ref="D106:E106"/>
    <mergeCell ref="G106:H106"/>
    <mergeCell ref="J106:K106"/>
    <mergeCell ref="J111:K111"/>
    <mergeCell ref="D112:E112"/>
    <mergeCell ref="G112:H112"/>
    <mergeCell ref="J112:K112"/>
    <mergeCell ref="D109:E109"/>
    <mergeCell ref="G109:H109"/>
    <mergeCell ref="J109:K109"/>
    <mergeCell ref="B113:C113"/>
    <mergeCell ref="D110:E110"/>
    <mergeCell ref="G110:H110"/>
    <mergeCell ref="G116:H116"/>
    <mergeCell ref="J116:K116"/>
    <mergeCell ref="D113:E113"/>
    <mergeCell ref="G113:H113"/>
    <mergeCell ref="J113:K113"/>
    <mergeCell ref="D114:E114"/>
    <mergeCell ref="G114:H114"/>
    <mergeCell ref="J114:K114"/>
    <mergeCell ref="D111:E111"/>
    <mergeCell ref="G111:H111"/>
    <mergeCell ref="O101:P101"/>
    <mergeCell ref="R101:S101"/>
    <mergeCell ref="O106:P106"/>
    <mergeCell ref="R106:S106"/>
    <mergeCell ref="M115:N115"/>
    <mergeCell ref="M116:N116"/>
    <mergeCell ref="B114:C114"/>
    <mergeCell ref="B115:C115"/>
    <mergeCell ref="B116:C116"/>
    <mergeCell ref="J110:K110"/>
    <mergeCell ref="M107:N107"/>
    <mergeCell ref="M108:N108"/>
    <mergeCell ref="M109:N109"/>
    <mergeCell ref="B109:C109"/>
    <mergeCell ref="B110:C110"/>
    <mergeCell ref="B111:C111"/>
    <mergeCell ref="B112:C112"/>
    <mergeCell ref="G102:H102"/>
    <mergeCell ref="J102:K102"/>
    <mergeCell ref="D117:E117"/>
    <mergeCell ref="G117:H117"/>
    <mergeCell ref="J117:K117"/>
    <mergeCell ref="G103:H103"/>
    <mergeCell ref="J103:K103"/>
    <mergeCell ref="D104:E104"/>
    <mergeCell ref="G104:H104"/>
    <mergeCell ref="J104:K104"/>
    <mergeCell ref="G100:H100"/>
    <mergeCell ref="J100:K100"/>
    <mergeCell ref="D101:E101"/>
    <mergeCell ref="G101:H101"/>
    <mergeCell ref="J101:K101"/>
    <mergeCell ref="D102:E102"/>
    <mergeCell ref="M104:N104"/>
    <mergeCell ref="M105:N105"/>
    <mergeCell ref="U101:V101"/>
    <mergeCell ref="O102:P102"/>
    <mergeCell ref="R102:S102"/>
    <mergeCell ref="U102:V102"/>
    <mergeCell ref="M117:N117"/>
    <mergeCell ref="D100:E100"/>
    <mergeCell ref="D103:E103"/>
    <mergeCell ref="O100:P100"/>
    <mergeCell ref="R100:S100"/>
    <mergeCell ref="U100:V100"/>
    <mergeCell ref="R105:S105"/>
    <mergeCell ref="U105:V105"/>
    <mergeCell ref="D115:E115"/>
    <mergeCell ref="G115:H115"/>
    <mergeCell ref="J115:K115"/>
    <mergeCell ref="D116:E116"/>
    <mergeCell ref="X99:Z99"/>
    <mergeCell ref="AA99:AC99"/>
    <mergeCell ref="X100:Z100"/>
    <mergeCell ref="AA100:AC100"/>
    <mergeCell ref="X101:Z101"/>
    <mergeCell ref="O115:P115"/>
    <mergeCell ref="R115:S115"/>
    <mergeCell ref="U115:V115"/>
    <mergeCell ref="O113:P113"/>
    <mergeCell ref="R113:S113"/>
    <mergeCell ref="U113:V113"/>
    <mergeCell ref="O114:P114"/>
    <mergeCell ref="R114:S114"/>
    <mergeCell ref="U114:V114"/>
    <mergeCell ref="O111:P111"/>
    <mergeCell ref="R111:S111"/>
    <mergeCell ref="U111:V111"/>
    <mergeCell ref="O112:P112"/>
    <mergeCell ref="R112:S112"/>
    <mergeCell ref="U112:V112"/>
    <mergeCell ref="O109:P109"/>
    <mergeCell ref="O110:P110"/>
    <mergeCell ref="R110:S110"/>
    <mergeCell ref="U110:V110"/>
    <mergeCell ref="O107:P107"/>
    <mergeCell ref="R107:S107"/>
    <mergeCell ref="U107:V107"/>
    <mergeCell ref="O108:P108"/>
    <mergeCell ref="R108:S108"/>
    <mergeCell ref="U108:V108"/>
    <mergeCell ref="X105:Z105"/>
    <mergeCell ref="AA105:AC105"/>
    <mergeCell ref="X106:Z106"/>
    <mergeCell ref="AA106:AC106"/>
    <mergeCell ref="X107:Z107"/>
    <mergeCell ref="AA107:AC107"/>
    <mergeCell ref="AA101:AC101"/>
    <mergeCell ref="X102:Z102"/>
    <mergeCell ref="AA102:AC102"/>
    <mergeCell ref="X103:Z103"/>
    <mergeCell ref="AA103:AC103"/>
    <mergeCell ref="X104:Z104"/>
    <mergeCell ref="AA104:AC104"/>
    <mergeCell ref="X111:Z111"/>
    <mergeCell ref="AA111:AC111"/>
    <mergeCell ref="X112:Z112"/>
    <mergeCell ref="AA112:AC112"/>
    <mergeCell ref="X113:Z113"/>
    <mergeCell ref="AA113:AC113"/>
    <mergeCell ref="X108:Z108"/>
    <mergeCell ref="AA108:AC108"/>
    <mergeCell ref="X109:Z109"/>
    <mergeCell ref="AA109:AC109"/>
    <mergeCell ref="X110:Z110"/>
    <mergeCell ref="AA110:AC110"/>
    <mergeCell ref="X124:Z124"/>
    <mergeCell ref="AA124:AC124"/>
    <mergeCell ref="X117:Z117"/>
    <mergeCell ref="AA117:AC117"/>
    <mergeCell ref="X118:Z118"/>
    <mergeCell ref="AA118:AC118"/>
    <mergeCell ref="I123:K123"/>
    <mergeCell ref="P123:R123"/>
    <mergeCell ref="X114:Z114"/>
    <mergeCell ref="AA114:AC114"/>
    <mergeCell ref="X115:Z115"/>
    <mergeCell ref="AA115:AC115"/>
    <mergeCell ref="X116:Z116"/>
    <mergeCell ref="AA116:AC116"/>
    <mergeCell ref="O117:P117"/>
    <mergeCell ref="R117:S117"/>
    <mergeCell ref="U117:V117"/>
    <mergeCell ref="O116:P116"/>
    <mergeCell ref="R116:S116"/>
    <mergeCell ref="U116:V116"/>
    <mergeCell ref="M123:O123"/>
    <mergeCell ref="M124:O124"/>
    <mergeCell ref="I124:K124"/>
    <mergeCell ref="P124:R124"/>
    <mergeCell ref="X127:Z127"/>
    <mergeCell ref="AA127:AC127"/>
    <mergeCell ref="I126:K126"/>
    <mergeCell ref="P126:R126"/>
    <mergeCell ref="X126:Z126"/>
    <mergeCell ref="AA126:AC126"/>
    <mergeCell ref="I125:K125"/>
    <mergeCell ref="P125:R125"/>
    <mergeCell ref="X125:Z125"/>
    <mergeCell ref="AA125:AC125"/>
    <mergeCell ref="I127:K127"/>
    <mergeCell ref="P127:R127"/>
    <mergeCell ref="M125:O125"/>
    <mergeCell ref="M126:O126"/>
    <mergeCell ref="M127:O127"/>
    <mergeCell ref="B129:C132"/>
    <mergeCell ref="D129:K129"/>
    <mergeCell ref="O129:V129"/>
    <mergeCell ref="D130:F131"/>
    <mergeCell ref="G130:H131"/>
    <mergeCell ref="J130:K131"/>
    <mergeCell ref="O130:Q131"/>
    <mergeCell ref="R130:S131"/>
    <mergeCell ref="U130:V131"/>
    <mergeCell ref="D132:F132"/>
    <mergeCell ref="G132:H132"/>
    <mergeCell ref="J132:K132"/>
    <mergeCell ref="O132:Q132"/>
    <mergeCell ref="R132:S132"/>
    <mergeCell ref="X133:Z133"/>
    <mergeCell ref="AA133:AC133"/>
    <mergeCell ref="B134:C134"/>
    <mergeCell ref="D134:E134"/>
    <mergeCell ref="G134:H134"/>
    <mergeCell ref="J134:K134"/>
    <mergeCell ref="O134:P134"/>
    <mergeCell ref="R134:S134"/>
    <mergeCell ref="U134:V134"/>
    <mergeCell ref="X134:Z134"/>
    <mergeCell ref="AA134:AC134"/>
    <mergeCell ref="B133:C133"/>
    <mergeCell ref="D133:E133"/>
    <mergeCell ref="G133:H133"/>
    <mergeCell ref="J133:K133"/>
    <mergeCell ref="O133:P133"/>
    <mergeCell ref="R133:S133"/>
    <mergeCell ref="U133:V133"/>
    <mergeCell ref="B135:C135"/>
    <mergeCell ref="D135:E135"/>
    <mergeCell ref="G135:H135"/>
    <mergeCell ref="J135:K135"/>
    <mergeCell ref="O135:P135"/>
    <mergeCell ref="R135:S135"/>
    <mergeCell ref="U135:V135"/>
    <mergeCell ref="X135:Z135"/>
    <mergeCell ref="AA135:AC135"/>
    <mergeCell ref="M135:N135"/>
    <mergeCell ref="B136:C136"/>
    <mergeCell ref="D136:E136"/>
    <mergeCell ref="G136:H136"/>
    <mergeCell ref="J136:K136"/>
    <mergeCell ref="O136:P136"/>
    <mergeCell ref="R136:S136"/>
    <mergeCell ref="U136:V136"/>
    <mergeCell ref="X136:Z136"/>
    <mergeCell ref="AA136:AC136"/>
    <mergeCell ref="M136:N136"/>
    <mergeCell ref="B137:C137"/>
    <mergeCell ref="D137:E137"/>
    <mergeCell ref="G137:H137"/>
    <mergeCell ref="J137:K137"/>
    <mergeCell ref="O137:P137"/>
    <mergeCell ref="R137:S137"/>
    <mergeCell ref="U137:V137"/>
    <mergeCell ref="X137:Z137"/>
    <mergeCell ref="AA137:AC137"/>
    <mergeCell ref="M137:N137"/>
    <mergeCell ref="X138:Z138"/>
    <mergeCell ref="AA138:AC138"/>
    <mergeCell ref="B139:C139"/>
    <mergeCell ref="D139:E139"/>
    <mergeCell ref="G139:H139"/>
    <mergeCell ref="J139:K139"/>
    <mergeCell ref="O139:P139"/>
    <mergeCell ref="R139:S139"/>
    <mergeCell ref="U139:V139"/>
    <mergeCell ref="B138:C138"/>
    <mergeCell ref="D138:E138"/>
    <mergeCell ref="G138:H138"/>
    <mergeCell ref="J138:K138"/>
    <mergeCell ref="O138:P138"/>
    <mergeCell ref="R138:S138"/>
    <mergeCell ref="X139:Z139"/>
    <mergeCell ref="AA139:AC139"/>
    <mergeCell ref="M138:N138"/>
    <mergeCell ref="M139:N139"/>
    <mergeCell ref="B140:C140"/>
    <mergeCell ref="D140:E140"/>
    <mergeCell ref="G140:H140"/>
    <mergeCell ref="J140:K140"/>
    <mergeCell ref="O140:P140"/>
    <mergeCell ref="R140:S140"/>
    <mergeCell ref="U140:V140"/>
    <mergeCell ref="X140:Z140"/>
    <mergeCell ref="AA140:AC140"/>
    <mergeCell ref="M140:N140"/>
    <mergeCell ref="B141:C141"/>
    <mergeCell ref="D141:E141"/>
    <mergeCell ref="G141:H141"/>
    <mergeCell ref="J141:K141"/>
    <mergeCell ref="O141:P141"/>
    <mergeCell ref="R141:S141"/>
    <mergeCell ref="U141:V141"/>
    <mergeCell ref="X141:Z141"/>
    <mergeCell ref="AA141:AC141"/>
    <mergeCell ref="M141:N141"/>
    <mergeCell ref="X142:Z142"/>
    <mergeCell ref="AA142:AC142"/>
    <mergeCell ref="B143:C143"/>
    <mergeCell ref="D143:E143"/>
    <mergeCell ref="G143:H143"/>
    <mergeCell ref="J143:K143"/>
    <mergeCell ref="O143:P143"/>
    <mergeCell ref="R143:S143"/>
    <mergeCell ref="U143:V143"/>
    <mergeCell ref="B142:C142"/>
    <mergeCell ref="D142:E142"/>
    <mergeCell ref="G142:H142"/>
    <mergeCell ref="J142:K142"/>
    <mergeCell ref="O142:P142"/>
    <mergeCell ref="R142:S142"/>
    <mergeCell ref="X143:Z143"/>
    <mergeCell ref="AA143:AC143"/>
    <mergeCell ref="M142:N142"/>
    <mergeCell ref="M143:N143"/>
    <mergeCell ref="B144:C144"/>
    <mergeCell ref="D144:E144"/>
    <mergeCell ref="G144:H144"/>
    <mergeCell ref="J144:K144"/>
    <mergeCell ref="O144:P144"/>
    <mergeCell ref="R144:S144"/>
    <mergeCell ref="U144:V144"/>
    <mergeCell ref="X144:Z144"/>
    <mergeCell ref="AA144:AC144"/>
    <mergeCell ref="M144:N144"/>
    <mergeCell ref="B145:C145"/>
    <mergeCell ref="D145:E145"/>
    <mergeCell ref="G145:H145"/>
    <mergeCell ref="J145:K145"/>
    <mergeCell ref="O145:P145"/>
    <mergeCell ref="R145:S145"/>
    <mergeCell ref="U145:V145"/>
    <mergeCell ref="X145:Z145"/>
    <mergeCell ref="AA145:AC145"/>
    <mergeCell ref="M145:N145"/>
    <mergeCell ref="X146:Z146"/>
    <mergeCell ref="AA146:AC146"/>
    <mergeCell ref="B147:C147"/>
    <mergeCell ref="D147:E147"/>
    <mergeCell ref="G147:H147"/>
    <mergeCell ref="J147:K147"/>
    <mergeCell ref="O147:P147"/>
    <mergeCell ref="R147:S147"/>
    <mergeCell ref="U147:V147"/>
    <mergeCell ref="B146:C146"/>
    <mergeCell ref="D146:E146"/>
    <mergeCell ref="G146:H146"/>
    <mergeCell ref="J146:K146"/>
    <mergeCell ref="O146:P146"/>
    <mergeCell ref="R146:S146"/>
    <mergeCell ref="X147:Z147"/>
    <mergeCell ref="AA147:AC147"/>
    <mergeCell ref="M146:N146"/>
    <mergeCell ref="M147:N147"/>
    <mergeCell ref="B148:C148"/>
    <mergeCell ref="D148:E148"/>
    <mergeCell ref="G148:H148"/>
    <mergeCell ref="J148:K148"/>
    <mergeCell ref="O148:P148"/>
    <mergeCell ref="R148:S148"/>
    <mergeCell ref="U148:V148"/>
    <mergeCell ref="X148:Z148"/>
    <mergeCell ref="AA148:AC148"/>
    <mergeCell ref="M148:N148"/>
    <mergeCell ref="B149:C149"/>
    <mergeCell ref="D149:E149"/>
    <mergeCell ref="G149:H149"/>
    <mergeCell ref="J149:K149"/>
    <mergeCell ref="O149:P149"/>
    <mergeCell ref="R149:S149"/>
    <mergeCell ref="U149:V149"/>
    <mergeCell ref="X149:Z149"/>
    <mergeCell ref="AA149:AC149"/>
    <mergeCell ref="M149:N149"/>
    <mergeCell ref="X150:Z150"/>
    <mergeCell ref="AA150:AC150"/>
    <mergeCell ref="B151:C151"/>
    <mergeCell ref="D151:E151"/>
    <mergeCell ref="G151:H151"/>
    <mergeCell ref="J151:K151"/>
    <mergeCell ref="O151:P151"/>
    <mergeCell ref="R151:S151"/>
    <mergeCell ref="U151:V151"/>
    <mergeCell ref="B150:C150"/>
    <mergeCell ref="D150:E150"/>
    <mergeCell ref="G150:H150"/>
    <mergeCell ref="J150:K150"/>
    <mergeCell ref="O150:P150"/>
    <mergeCell ref="R150:S150"/>
    <mergeCell ref="X151:Z151"/>
    <mergeCell ref="AA151:AC151"/>
    <mergeCell ref="M150:N150"/>
    <mergeCell ref="M151:N151"/>
    <mergeCell ref="B152:C152"/>
    <mergeCell ref="D152:E152"/>
    <mergeCell ref="G152:H152"/>
    <mergeCell ref="J152:K152"/>
    <mergeCell ref="O152:P152"/>
    <mergeCell ref="R152:S152"/>
    <mergeCell ref="U152:V152"/>
    <mergeCell ref="X152:Z152"/>
    <mergeCell ref="AA152:AC152"/>
    <mergeCell ref="M152:N152"/>
    <mergeCell ref="X162:Z162"/>
    <mergeCell ref="AA162:AC162"/>
    <mergeCell ref="I161:K161"/>
    <mergeCell ref="P161:R161"/>
    <mergeCell ref="X161:Z161"/>
    <mergeCell ref="AA161:AC161"/>
    <mergeCell ref="B153:C153"/>
    <mergeCell ref="X153:Z153"/>
    <mergeCell ref="AA153:AC153"/>
    <mergeCell ref="I158:K158"/>
    <mergeCell ref="P158:R158"/>
    <mergeCell ref="I160:K160"/>
    <mergeCell ref="P160:R160"/>
    <mergeCell ref="X160:Z160"/>
    <mergeCell ref="AA160:AC160"/>
    <mergeCell ref="I159:K159"/>
    <mergeCell ref="P159:R159"/>
    <mergeCell ref="X159:Z159"/>
    <mergeCell ref="AA159:AC159"/>
    <mergeCell ref="M160:O160"/>
    <mergeCell ref="M161:O161"/>
    <mergeCell ref="M162:O162"/>
    <mergeCell ref="D153:E153"/>
    <mergeCell ref="O153:P153"/>
    <mergeCell ref="U167:V167"/>
    <mergeCell ref="B168:C168"/>
    <mergeCell ref="D168:E168"/>
    <mergeCell ref="G168:H168"/>
    <mergeCell ref="J168:K168"/>
    <mergeCell ref="O168:P168"/>
    <mergeCell ref="B164:C167"/>
    <mergeCell ref="D164:K164"/>
    <mergeCell ref="O164:V164"/>
    <mergeCell ref="D165:F166"/>
    <mergeCell ref="G165:H166"/>
    <mergeCell ref="J165:K166"/>
    <mergeCell ref="O165:Q166"/>
    <mergeCell ref="R165:S166"/>
    <mergeCell ref="U165:V166"/>
    <mergeCell ref="D167:F167"/>
    <mergeCell ref="R168:S168"/>
    <mergeCell ref="U168:V168"/>
    <mergeCell ref="G167:H167"/>
    <mergeCell ref="J167:K167"/>
    <mergeCell ref="O167:Q167"/>
    <mergeCell ref="R167:S167"/>
    <mergeCell ref="M158:O158"/>
    <mergeCell ref="M159:O159"/>
    <mergeCell ref="T161:V161"/>
    <mergeCell ref="I162:K162"/>
    <mergeCell ref="P162:R162"/>
    <mergeCell ref="M153:N153"/>
    <mergeCell ref="M164:N167"/>
    <mergeCell ref="M168:N168"/>
    <mergeCell ref="X168:Z168"/>
    <mergeCell ref="AA168:AC168"/>
    <mergeCell ref="B169:C169"/>
    <mergeCell ref="D169:E169"/>
    <mergeCell ref="G169:H169"/>
    <mergeCell ref="J169:K169"/>
    <mergeCell ref="O169:P169"/>
    <mergeCell ref="R169:S169"/>
    <mergeCell ref="U169:V169"/>
    <mergeCell ref="X169:Z169"/>
    <mergeCell ref="AA169:AC169"/>
    <mergeCell ref="B170:C170"/>
    <mergeCell ref="D170:E170"/>
    <mergeCell ref="G170:H170"/>
    <mergeCell ref="J170:K170"/>
    <mergeCell ref="O170:P170"/>
    <mergeCell ref="R170:S170"/>
    <mergeCell ref="U170:V170"/>
    <mergeCell ref="X170:Z170"/>
    <mergeCell ref="AA170:AC170"/>
    <mergeCell ref="M169:N169"/>
    <mergeCell ref="M170:N170"/>
    <mergeCell ref="B171:C171"/>
    <mergeCell ref="D171:E171"/>
    <mergeCell ref="G171:H171"/>
    <mergeCell ref="J171:K171"/>
    <mergeCell ref="O171:P171"/>
    <mergeCell ref="R171:S171"/>
    <mergeCell ref="U171:V171"/>
    <mergeCell ref="X171:Z171"/>
    <mergeCell ref="AA171:AC171"/>
    <mergeCell ref="B172:C172"/>
    <mergeCell ref="D172:E172"/>
    <mergeCell ref="G172:H172"/>
    <mergeCell ref="J172:K172"/>
    <mergeCell ref="O172:P172"/>
    <mergeCell ref="R172:S172"/>
    <mergeCell ref="U172:V172"/>
    <mergeCell ref="X172:Z172"/>
    <mergeCell ref="AA172:AC172"/>
    <mergeCell ref="M171:N171"/>
    <mergeCell ref="M172:N172"/>
    <mergeCell ref="U173:V173"/>
    <mergeCell ref="X173:Z173"/>
    <mergeCell ref="AA173:AC173"/>
    <mergeCell ref="B174:C174"/>
    <mergeCell ref="D174:E174"/>
    <mergeCell ref="G174:H174"/>
    <mergeCell ref="J174:K174"/>
    <mergeCell ref="O174:P174"/>
    <mergeCell ref="R174:S174"/>
    <mergeCell ref="U174:V174"/>
    <mergeCell ref="B173:C173"/>
    <mergeCell ref="D173:E173"/>
    <mergeCell ref="G173:H173"/>
    <mergeCell ref="J173:K173"/>
    <mergeCell ref="O173:P173"/>
    <mergeCell ref="R173:S173"/>
    <mergeCell ref="X174:Z174"/>
    <mergeCell ref="AA174:AC174"/>
    <mergeCell ref="M173:N173"/>
    <mergeCell ref="M174:N174"/>
    <mergeCell ref="B175:C175"/>
    <mergeCell ref="D175:E175"/>
    <mergeCell ref="G175:H175"/>
    <mergeCell ref="J175:K175"/>
    <mergeCell ref="O175:P175"/>
    <mergeCell ref="R175:S175"/>
    <mergeCell ref="U175:V175"/>
    <mergeCell ref="X175:Z175"/>
    <mergeCell ref="AA175:AC175"/>
    <mergeCell ref="M175:N175"/>
    <mergeCell ref="B176:C176"/>
    <mergeCell ref="D176:E176"/>
    <mergeCell ref="G176:H176"/>
    <mergeCell ref="J176:K176"/>
    <mergeCell ref="O176:P176"/>
    <mergeCell ref="R176:S176"/>
    <mergeCell ref="U176:V176"/>
    <mergeCell ref="X176:Z176"/>
    <mergeCell ref="AA176:AC176"/>
    <mergeCell ref="M176:N176"/>
    <mergeCell ref="U177:V177"/>
    <mergeCell ref="X177:Z177"/>
    <mergeCell ref="AA177:AC177"/>
    <mergeCell ref="B178:C178"/>
    <mergeCell ref="D178:E178"/>
    <mergeCell ref="G178:H178"/>
    <mergeCell ref="J178:K178"/>
    <mergeCell ref="O178:P178"/>
    <mergeCell ref="R178:S178"/>
    <mergeCell ref="U178:V178"/>
    <mergeCell ref="B177:C177"/>
    <mergeCell ref="D177:E177"/>
    <mergeCell ref="G177:H177"/>
    <mergeCell ref="J177:K177"/>
    <mergeCell ref="O177:P177"/>
    <mergeCell ref="R177:S177"/>
    <mergeCell ref="X178:Z178"/>
    <mergeCell ref="AA178:AC178"/>
    <mergeCell ref="M177:N177"/>
    <mergeCell ref="M178:N178"/>
    <mergeCell ref="X182:Z182"/>
    <mergeCell ref="AA182:AC182"/>
    <mergeCell ref="M181:N181"/>
    <mergeCell ref="M182:N182"/>
    <mergeCell ref="B179:C179"/>
    <mergeCell ref="D179:E179"/>
    <mergeCell ref="G179:H179"/>
    <mergeCell ref="J179:K179"/>
    <mergeCell ref="O179:P179"/>
    <mergeCell ref="R179:S179"/>
    <mergeCell ref="U179:V179"/>
    <mergeCell ref="X179:Z179"/>
    <mergeCell ref="AA179:AC179"/>
    <mergeCell ref="M179:N179"/>
    <mergeCell ref="B180:C180"/>
    <mergeCell ref="D180:E180"/>
    <mergeCell ref="G180:H180"/>
    <mergeCell ref="J180:K180"/>
    <mergeCell ref="O180:P180"/>
    <mergeCell ref="R180:S180"/>
    <mergeCell ref="U180:V180"/>
    <mergeCell ref="X180:Z180"/>
    <mergeCell ref="AA180:AC180"/>
    <mergeCell ref="M180:N180"/>
    <mergeCell ref="O183:P183"/>
    <mergeCell ref="R183:S183"/>
    <mergeCell ref="U183:V183"/>
    <mergeCell ref="X183:Z183"/>
    <mergeCell ref="AA183:AC183"/>
    <mergeCell ref="M183:N183"/>
    <mergeCell ref="B184:C184"/>
    <mergeCell ref="D184:E184"/>
    <mergeCell ref="G184:H184"/>
    <mergeCell ref="J184:K184"/>
    <mergeCell ref="O184:P184"/>
    <mergeCell ref="R184:S184"/>
    <mergeCell ref="U184:V184"/>
    <mergeCell ref="X184:Z184"/>
    <mergeCell ref="AA184:AC184"/>
    <mergeCell ref="M184:N184"/>
    <mergeCell ref="U181:V181"/>
    <mergeCell ref="X181:Z181"/>
    <mergeCell ref="AA181:AC181"/>
    <mergeCell ref="B182:C182"/>
    <mergeCell ref="D182:E182"/>
    <mergeCell ref="G182:H182"/>
    <mergeCell ref="J182:K182"/>
    <mergeCell ref="O182:P182"/>
    <mergeCell ref="R182:S182"/>
    <mergeCell ref="U182:V182"/>
    <mergeCell ref="B181:C181"/>
    <mergeCell ref="D181:E181"/>
    <mergeCell ref="G181:H181"/>
    <mergeCell ref="J181:K181"/>
    <mergeCell ref="O181:P181"/>
    <mergeCell ref="R181:S181"/>
    <mergeCell ref="U185:V185"/>
    <mergeCell ref="M110:N110"/>
    <mergeCell ref="M111:N111"/>
    <mergeCell ref="M112:N112"/>
    <mergeCell ref="M113:N113"/>
    <mergeCell ref="M114:N114"/>
    <mergeCell ref="T66:V66"/>
    <mergeCell ref="T69:V69"/>
    <mergeCell ref="T65:V65"/>
    <mergeCell ref="T78:V78"/>
    <mergeCell ref="P58:R58"/>
    <mergeCell ref="X185:Z185"/>
    <mergeCell ref="AA185:AC185"/>
    <mergeCell ref="B186:C186"/>
    <mergeCell ref="D186:E186"/>
    <mergeCell ref="G186:H186"/>
    <mergeCell ref="J186:K186"/>
    <mergeCell ref="O186:P186"/>
    <mergeCell ref="R186:S186"/>
    <mergeCell ref="U186:V186"/>
    <mergeCell ref="B185:C185"/>
    <mergeCell ref="D185:E185"/>
    <mergeCell ref="G185:H185"/>
    <mergeCell ref="J185:K185"/>
    <mergeCell ref="O185:P185"/>
    <mergeCell ref="R185:S185"/>
    <mergeCell ref="M185:N185"/>
    <mergeCell ref="M186:N186"/>
    <mergeCell ref="B183:C183"/>
    <mergeCell ref="D183:E183"/>
    <mergeCell ref="G183:H183"/>
    <mergeCell ref="J183:K183"/>
    <mergeCell ref="AA187:AC187"/>
    <mergeCell ref="B188:C188"/>
    <mergeCell ref="X188:Z188"/>
    <mergeCell ref="AA188:AC188"/>
    <mergeCell ref="X186:Z186"/>
    <mergeCell ref="AA186:AC186"/>
    <mergeCell ref="B187:C187"/>
    <mergeCell ref="D187:E187"/>
    <mergeCell ref="G187:H187"/>
    <mergeCell ref="J187:K187"/>
    <mergeCell ref="O187:P187"/>
    <mergeCell ref="R187:S187"/>
    <mergeCell ref="U187:V187"/>
    <mergeCell ref="X187:Z187"/>
    <mergeCell ref="D188:E188"/>
    <mergeCell ref="O188:P188"/>
    <mergeCell ref="M187:N187"/>
    <mergeCell ref="M188:N188"/>
    <mergeCell ref="R95:S96"/>
    <mergeCell ref="M67:O67"/>
    <mergeCell ref="P67:R67"/>
    <mergeCell ref="T60:V60"/>
    <mergeCell ref="T61:V61"/>
    <mergeCell ref="P61:R61"/>
    <mergeCell ref="U106:V106"/>
    <mergeCell ref="O103:P103"/>
    <mergeCell ref="R103:S103"/>
    <mergeCell ref="U103:V103"/>
    <mergeCell ref="O104:P104"/>
    <mergeCell ref="R104:S104"/>
    <mergeCell ref="U104:V104"/>
    <mergeCell ref="O105:P105"/>
    <mergeCell ref="R98:S98"/>
    <mergeCell ref="U98:V98"/>
    <mergeCell ref="M60:O60"/>
    <mergeCell ref="T89:V89"/>
    <mergeCell ref="T73:V73"/>
    <mergeCell ref="U99:V99"/>
    <mergeCell ref="O98:P98"/>
    <mergeCell ref="M106:N106"/>
    <mergeCell ref="P92:R92"/>
    <mergeCell ref="P66:R66"/>
    <mergeCell ref="T68:V68"/>
    <mergeCell ref="P60:R60"/>
    <mergeCell ref="X66:Z66"/>
    <mergeCell ref="I64:K64"/>
    <mergeCell ref="M64:O64"/>
    <mergeCell ref="P64:R64"/>
    <mergeCell ref="T64:V64"/>
    <mergeCell ref="X73:AC73"/>
    <mergeCell ref="AA58:AC58"/>
    <mergeCell ref="X49:AC49"/>
    <mergeCell ref="X79:Z79"/>
    <mergeCell ref="AA79:AC79"/>
    <mergeCell ref="AA67:AC67"/>
    <mergeCell ref="AA48:AC48"/>
    <mergeCell ref="D118:E118"/>
    <mergeCell ref="O118:P118"/>
    <mergeCell ref="I54:K54"/>
    <mergeCell ref="M54:O54"/>
    <mergeCell ref="P54:R54"/>
    <mergeCell ref="M52:O52"/>
    <mergeCell ref="I53:K53"/>
    <mergeCell ref="I69:K69"/>
    <mergeCell ref="M69:O69"/>
    <mergeCell ref="P69:R69"/>
    <mergeCell ref="I48:K48"/>
    <mergeCell ref="M61:O61"/>
    <mergeCell ref="I61:K61"/>
    <mergeCell ref="I51:K51"/>
    <mergeCell ref="M51:O51"/>
    <mergeCell ref="P51:R51"/>
    <mergeCell ref="R109:S109"/>
    <mergeCell ref="O99:P99"/>
    <mergeCell ref="R99:S99"/>
    <mergeCell ref="O95:Q96"/>
    <mergeCell ref="AA38:AC38"/>
    <mergeCell ref="X39:Z39"/>
    <mergeCell ref="X38:Z38"/>
    <mergeCell ref="T39:V39"/>
    <mergeCell ref="AA40:AC40"/>
    <mergeCell ref="T41:V41"/>
    <mergeCell ref="X42:Z42"/>
    <mergeCell ref="AA42:AC42"/>
    <mergeCell ref="T42:V42"/>
    <mergeCell ref="X52:Z52"/>
    <mergeCell ref="T53:V53"/>
    <mergeCell ref="T51:V51"/>
    <mergeCell ref="T49:V49"/>
    <mergeCell ref="T35:V35"/>
    <mergeCell ref="AA52:AC52"/>
    <mergeCell ref="AA54:AC54"/>
    <mergeCell ref="AA51:AC51"/>
    <mergeCell ref="X47:Z47"/>
    <mergeCell ref="AA47:AC47"/>
    <mergeCell ref="AD164:AG164"/>
    <mergeCell ref="AD65:AG65"/>
    <mergeCell ref="AD66:AG66"/>
    <mergeCell ref="T162:V162"/>
    <mergeCell ref="T92:V92"/>
    <mergeCell ref="T123:V123"/>
    <mergeCell ref="T124:V124"/>
    <mergeCell ref="T125:V125"/>
    <mergeCell ref="T126:V126"/>
    <mergeCell ref="T127:V127"/>
    <mergeCell ref="T158:V158"/>
    <mergeCell ref="T159:V159"/>
    <mergeCell ref="T160:V160"/>
    <mergeCell ref="U150:V150"/>
    <mergeCell ref="U146:V146"/>
    <mergeCell ref="U142:V142"/>
    <mergeCell ref="U138:V138"/>
    <mergeCell ref="U132:V132"/>
    <mergeCell ref="U109:V109"/>
    <mergeCell ref="T79:V79"/>
    <mergeCell ref="T80:V80"/>
    <mergeCell ref="T81:V81"/>
    <mergeCell ref="T82:V82"/>
    <mergeCell ref="T88:V88"/>
    <mergeCell ref="T67:V67"/>
    <mergeCell ref="X82:Z82"/>
    <mergeCell ref="AA66:AC66"/>
    <mergeCell ref="X69:Z69"/>
    <mergeCell ref="AA69:AC69"/>
    <mergeCell ref="X65:Z65"/>
    <mergeCell ref="AA65:AC65"/>
    <mergeCell ref="X67:Z67"/>
  </mergeCells>
  <conditionalFormatting sqref="AD73:AD89 AD32:AD33 AD54:AD57 AD93 AD128 AD163 AD36:AD41 AD49:AD51 AD67:AD69 AD60:AD64 AD43:AD46 AD165:AD188 AD95:AD123 AD130:AD158">
    <cfRule type="notContainsBlanks" dxfId="98" priority="54">
      <formula>LEN(TRIM(AD32))&gt;0</formula>
    </cfRule>
  </conditionalFormatting>
  <conditionalFormatting sqref="AD52">
    <cfRule type="notContainsBlanks" dxfId="97" priority="55">
      <formula>LEN(TRIM(AD52))&gt;0</formula>
    </cfRule>
  </conditionalFormatting>
  <conditionalFormatting sqref="AD70:AD72">
    <cfRule type="notContainsBlanks" dxfId="96" priority="57">
      <formula>LEN(TRIM(AD70))&gt;0</formula>
    </cfRule>
  </conditionalFormatting>
  <conditionalFormatting sqref="AD35">
    <cfRule type="notContainsBlanks" dxfId="95" priority="58">
      <formula>LEN(TRIM(AD35))&gt;0</formula>
    </cfRule>
  </conditionalFormatting>
  <conditionalFormatting sqref="C35">
    <cfRule type="cellIs" dxfId="94" priority="39" operator="equal">
      <formula>"Base Free-Flow Speed  "</formula>
    </cfRule>
    <cfRule type="cellIs" dxfId="93" priority="40" operator="equal">
      <formula>"Base Free-Flow Speed "</formula>
    </cfRule>
  </conditionalFormatting>
  <conditionalFormatting sqref="C38">
    <cfRule type="cellIs" dxfId="92" priority="37" operator="equal">
      <formula>"Left-Side Lateral Clearance  "</formula>
    </cfRule>
    <cfRule type="cellIs" dxfId="91" priority="38" operator="equal">
      <formula>"Left-Side Lateral Clearance "</formula>
    </cfRule>
  </conditionalFormatting>
  <conditionalFormatting sqref="C39">
    <cfRule type="cellIs" dxfId="90" priority="35" operator="equal">
      <formula>"Median Type  "</formula>
    </cfRule>
    <cfRule type="cellIs" dxfId="89" priority="36" operator="equal">
      <formula>"Median Type "</formula>
    </cfRule>
  </conditionalFormatting>
  <conditionalFormatting sqref="C41">
    <cfRule type="cellIs" dxfId="88" priority="33" operator="equal">
      <formula>"Access-Point Density  "</formula>
    </cfRule>
    <cfRule type="cellIs" dxfId="87" priority="34" operator="equal">
      <formula>"Access-Point Density "</formula>
    </cfRule>
  </conditionalFormatting>
  <conditionalFormatting sqref="C40">
    <cfRule type="cellIs" dxfId="86" priority="31" operator="equal">
      <formula>"Total Ramp Density "</formula>
    </cfRule>
    <cfRule type="cellIs" dxfId="85" priority="32" operator="equal">
      <formula>"Total Ramp Density  "</formula>
    </cfRule>
  </conditionalFormatting>
  <conditionalFormatting sqref="AD90">
    <cfRule type="notContainsBlanks" dxfId="84" priority="59">
      <formula>LEN(TRIM(AD90))&gt;0</formula>
    </cfRule>
  </conditionalFormatting>
  <conditionalFormatting sqref="AD91">
    <cfRule type="notContainsBlanks" dxfId="83" priority="60">
      <formula>LEN(TRIM(AD91))&gt;0</formula>
    </cfRule>
  </conditionalFormatting>
  <conditionalFormatting sqref="AD92">
    <cfRule type="notContainsBlanks" dxfId="82" priority="61">
      <formula>LEN(TRIM(AD92))&gt;0</formula>
    </cfRule>
  </conditionalFormatting>
  <conditionalFormatting sqref="AD124">
    <cfRule type="notContainsBlanks" dxfId="81" priority="62">
      <formula>LEN(TRIM(AD124))&gt;0</formula>
    </cfRule>
  </conditionalFormatting>
  <conditionalFormatting sqref="AD125">
    <cfRule type="notContainsBlanks" dxfId="80" priority="63">
      <formula>LEN(TRIM(AD125))&gt;0</formula>
    </cfRule>
  </conditionalFormatting>
  <conditionalFormatting sqref="AD126">
    <cfRule type="notContainsBlanks" dxfId="79" priority="64">
      <formula>LEN(TRIM(AD126))&gt;0</formula>
    </cfRule>
  </conditionalFormatting>
  <conditionalFormatting sqref="AD127">
    <cfRule type="notContainsBlanks" dxfId="78" priority="65">
      <formula>LEN(TRIM(AD127))&gt;0</formula>
    </cfRule>
  </conditionalFormatting>
  <conditionalFormatting sqref="AD159">
    <cfRule type="notContainsBlanks" dxfId="77" priority="66">
      <formula>LEN(TRIM(AD159))&gt;0</formula>
    </cfRule>
  </conditionalFormatting>
  <conditionalFormatting sqref="AD160">
    <cfRule type="notContainsBlanks" dxfId="76" priority="67">
      <formula>LEN(TRIM(AD160))&gt;0</formula>
    </cfRule>
  </conditionalFormatting>
  <conditionalFormatting sqref="AD161">
    <cfRule type="notContainsBlanks" dxfId="75" priority="68">
      <formula>LEN(TRIM(AD161))&gt;0</formula>
    </cfRule>
  </conditionalFormatting>
  <conditionalFormatting sqref="AD162">
    <cfRule type="notContainsBlanks" dxfId="74" priority="69">
      <formula>LEN(TRIM(AD162))&gt;0</formula>
    </cfRule>
  </conditionalFormatting>
  <conditionalFormatting sqref="AD65">
    <cfRule type="notContainsBlanks" dxfId="73" priority="70">
      <formula>LEN(TRIM(AD65))&gt;0</formula>
    </cfRule>
  </conditionalFormatting>
  <conditionalFormatting sqref="AD66">
    <cfRule type="notContainsBlanks" dxfId="72" priority="71">
      <formula>LEN(TRIM(AD66))&gt;0</formula>
    </cfRule>
  </conditionalFormatting>
  <conditionalFormatting sqref="AD13:AD16">
    <cfRule type="notContainsBlanks" dxfId="71" priority="52">
      <formula>LEN(TRIM(AD13))&gt;0</formula>
    </cfRule>
  </conditionalFormatting>
  <conditionalFormatting sqref="AD28">
    <cfRule type="notContainsBlanks" dxfId="70" priority="72">
      <formula>LEN(TRIM(AD28))&gt;0</formula>
    </cfRule>
  </conditionalFormatting>
  <conditionalFormatting sqref="AD34">
    <cfRule type="notContainsBlanks" dxfId="69" priority="53">
      <formula>LEN(TRIM(AD34))&gt;0</formula>
    </cfRule>
  </conditionalFormatting>
  <conditionalFormatting sqref="AD47">
    <cfRule type="notContainsBlanks" dxfId="68" priority="73">
      <formula>LEN(TRIM(AD47))&gt;0</formula>
    </cfRule>
  </conditionalFormatting>
  <conditionalFormatting sqref="AD58">
    <cfRule type="notContainsBlanks" dxfId="67" priority="74">
      <formula>LEN(TRIM(AD58))&gt;0</formula>
    </cfRule>
  </conditionalFormatting>
  <conditionalFormatting sqref="AD59">
    <cfRule type="notContainsBlanks" dxfId="66" priority="75">
      <formula>LEN(TRIM(AD59))&gt;0</formula>
    </cfRule>
  </conditionalFormatting>
  <conditionalFormatting sqref="AD42">
    <cfRule type="notContainsBlanks" dxfId="65" priority="76">
      <formula>LEN(TRIM(AD42))&gt;0</formula>
    </cfRule>
  </conditionalFormatting>
  <conditionalFormatting sqref="AD17">
    <cfRule type="notContainsBlanks" dxfId="64" priority="9">
      <formula>LEN(TRIM(AD17))&gt;0</formula>
    </cfRule>
  </conditionalFormatting>
  <conditionalFormatting sqref="AD94">
    <cfRule type="notContainsBlanks" dxfId="63" priority="8">
      <formula>LEN(TRIM(AD94))&gt;0</formula>
    </cfRule>
  </conditionalFormatting>
  <conditionalFormatting sqref="AD129">
    <cfRule type="notContainsBlanks" dxfId="62" priority="7">
      <formula>LEN(TRIM(AD129))&gt;0</formula>
    </cfRule>
  </conditionalFormatting>
  <conditionalFormatting sqref="AD164">
    <cfRule type="notContainsBlanks" dxfId="61" priority="6">
      <formula>LEN(TRIM(AD164))&gt;0</formula>
    </cfRule>
  </conditionalFormatting>
  <conditionalFormatting sqref="AD22">
    <cfRule type="notContainsBlanks" dxfId="60" priority="5">
      <formula>LEN(TRIM(AD22))&gt;0</formula>
    </cfRule>
  </conditionalFormatting>
  <conditionalFormatting sqref="AD48">
    <cfRule type="notContainsBlanks" dxfId="59" priority="4">
      <formula>LEN(TRIM(AD48))&gt;0</formula>
    </cfRule>
  </conditionalFormatting>
  <conditionalFormatting sqref="AD12">
    <cfRule type="notContainsBlanks" dxfId="58" priority="3">
      <formula>LEN(TRIM(AD12))&gt;0</formula>
    </cfRule>
  </conditionalFormatting>
  <conditionalFormatting sqref="AD11">
    <cfRule type="notContainsBlanks" dxfId="57" priority="2">
      <formula>LEN(TRIM(AD11))&gt;0</formula>
    </cfRule>
  </conditionalFormatting>
  <dataValidations count="28">
    <dataValidation type="list" showErrorMessage="1" errorTitle="Input Error" error="Value must be selected from drop-down menu." sqref="I13" xr:uid="{00000000-0002-0000-0100-000000000000}">
      <formula1>ListDistricts</formula1>
    </dataValidation>
    <dataValidation type="list" showInputMessage="1" showErrorMessage="1" errorTitle="Input Error" error="Value must be selected from drop-down menu." sqref="I14" xr:uid="{00000000-0002-0000-0100-000001000000}">
      <formula1>ListCounties</formula1>
    </dataValidation>
    <dataValidation type="decimal" allowBlank="1" showErrorMessage="1" errorTitle="Range Error" error="Value must be between 0% - 100%" sqref="I48:K48" xr:uid="{00000000-0002-0000-0100-000002000000}">
      <formula1>0</formula1>
      <formula2>100</formula2>
    </dataValidation>
    <dataValidation type="whole" operator="greaterThan" allowBlank="1" showErrorMessage="1" errorTitle="Precision Error" error="Value must be a whole number greater than 0." sqref="I47:K47 I73:K73 I34:K34 I78:K82 I42:K43 P42:R43 M47 P60:R60 I60:K60 P78:R82 M78:M82 M42:M43 I67:K69 P47:R47 P67:R69 M67:M69 M60" xr:uid="{00000000-0002-0000-0100-000003000000}">
      <formula1>0</formula1>
    </dataValidation>
    <dataValidation type="list" showErrorMessage="1" errorTitle="Input Error" error="Value must be selected from drop-down menu." sqref="I36:K36 M61 M36 P36:R36 P61:R61 I61:K61" xr:uid="{00000000-0002-0000-0100-000004000000}">
      <formula1>ListWidth</formula1>
    </dataValidation>
    <dataValidation type="list" showInputMessage="1" showErrorMessage="1" errorTitle="Input Error" error="Value must be selected from drop-down menu." sqref="P37:R38 M37:M38 I37:K38 M62 I62:K62 P62:R62" xr:uid="{00000000-0002-0000-0100-000005000000}">
      <formula1>ListClearance</formula1>
    </dataValidation>
    <dataValidation type="list" showInputMessage="1" showErrorMessage="1" errorTitle="Input Error" error="Value must be selected from drop-down menu." sqref="M65:M66 I65:K66 P65:R66" xr:uid="{00000000-0002-0000-0100-000006000000}">
      <formula1>ListHours</formula1>
    </dataValidation>
    <dataValidation type="list" showInputMessage="1" showErrorMessage="1" errorTitle="Input Error" error="Value must be selected from drop-down menu." sqref="H58 F98:F117 Q98:Q117 F133:F152 Q133:Q152 F168:F187 Q168:Q187" xr:uid="{00000000-0002-0000-0100-000007000000}">
      <formula1>ListMiFt</formula1>
    </dataValidation>
    <dataValidation allowBlank="1" showInputMessage="1" showErrorMessage="1" promptTitle="Direction 2 Name" prompt="Type in a name for this direction_x000a_Examples: Southbound, Westbound, Outbound" sqref="P32:R32" xr:uid="{00000000-0002-0000-0100-000008000000}"/>
    <dataValidation type="decimal" allowBlank="1" showErrorMessage="1" errorTitle="Range Error" error="Value must be between 0 - 100" sqref="I52:K52 I89:K92 M52 P52:R52 M89:M92 P89:R92 I124:K127 M124:M127 P124:R127 I159:K162 M159:M162 P159:R162" xr:uid="{00000000-0002-0000-0100-000009000000}">
      <formula1>0</formula1>
      <formula2>100</formula2>
    </dataValidation>
    <dataValidation type="decimal" allowBlank="1" showErrorMessage="1" errorTitle="Range Error" error="Value must be between 0 - 100_x000a_" sqref="I51:K51 P88:R88 I88:K88 M51 M54 I54:K54 P51:R51 M88 P54:R54 P123:R123 I123:K123 M123 P158:R158 I158:K158 M158" xr:uid="{00000000-0002-0000-0100-00000A000000}">
      <formula1>0</formula1>
      <formula2>100</formula2>
    </dataValidation>
    <dataValidation type="list" showInputMessage="1" showErrorMessage="1" errorTitle="Input Error" error="Value must be chosen from drop-down menu." promptTitle="Select Detour Option" prompt="Use the drop-down menu to select the directional option for this range of cells." sqref="D94:K94 D129:K129 D164:K164" xr:uid="{00000000-0002-0000-0100-00000B000000}">
      <formula1>ListDetour</formula1>
    </dataValidation>
    <dataValidation type="whole" operator="greaterThan" allowBlank="1" showErrorMessage="1" errorTitle="Input Error" error="Value must be a whole number greater than 0." sqref="G98:H117 R98:S117 U98:V117 L94:L97 J98:L117" xr:uid="{00000000-0002-0000-0100-00000C000000}">
      <formula1>0</formula1>
    </dataValidation>
    <dataValidation allowBlank="1" showInputMessage="1" showErrorMessage="1" promptTitle="Direction 1 Name" prompt="Type in a name for this direction_x000a_Examples: Northbound, Eastbound, Inbound" sqref="M32" xr:uid="{00000000-0002-0000-0100-00000D000000}"/>
    <dataValidation type="list" showInputMessage="1" showErrorMessage="1" errorTitle="Input Error" error="Value must be selected from drop-down menu." sqref="I28" xr:uid="{00000000-0002-0000-0100-00000E000000}">
      <formula1>ListClassification</formula1>
    </dataValidation>
    <dataValidation type="list" showInputMessage="1" showErrorMessage="1" errorTitle="Input Error" error="Value must be selected from drop-down menu." sqref="I30" xr:uid="{00000000-0002-0000-0100-00000F000000}">
      <formula1>ListTerrain</formula1>
    </dataValidation>
    <dataValidation operator="greaterThan" allowBlank="1" sqref="K35:L35 O35 R35 K59:L59 O59 R59" xr:uid="{00000000-0002-0000-0100-000010000000}"/>
    <dataValidation type="list" operator="greaterThan" showErrorMessage="1" errorTitle="Input Error" error="Value must be selected from drop-down menu." sqref="I35:J35 M35:N35 P35:Q35 I59:J59 M59:N59 P59:Q59" xr:uid="{00000000-0002-0000-0100-000011000000}">
      <formula1>ListFFS</formula1>
    </dataValidation>
    <dataValidation type="list" errorTitle="Range Error" error="Value must be between 0 - 100" sqref="I49:K49" xr:uid="{00000000-0002-0000-0100-000012000000}">
      <formula1>ListMonths</formula1>
    </dataValidation>
    <dataValidation type="list" allowBlank="1" showErrorMessage="1" errorTitle="Input Error" error="Value must be selected from drop-down menu." sqref="I39:K39" xr:uid="{00000000-0002-0000-0100-000013000000}">
      <formula1>ListMedian</formula1>
    </dataValidation>
    <dataValidation type="textLength" showErrorMessage="1" errorTitle="Input Error" error="This value is calculated automatically." sqref="M53:R53 I53:K53" xr:uid="{00000000-0002-0000-0100-000014000000}">
      <formula1>0</formula1>
      <formula2>0</formula2>
    </dataValidation>
    <dataValidation allowBlank="1" showInputMessage="1" promptTitle="Primary Detour Name" prompt="Use this cell to name the primary detour route." sqref="C86:G86" xr:uid="{00000000-0002-0000-0100-000015000000}"/>
    <dataValidation allowBlank="1" showInputMessage="1" showErrorMessage="1" promptTitle="Secondary Detour Name" prompt="Use this cell to name the secondary detour route." sqref="C121:G121" xr:uid="{00000000-0002-0000-0100-000016000000}"/>
    <dataValidation allowBlank="1" showInputMessage="1" showErrorMessage="1" promptTitle="Tertiary Detour Name" prompt="Use this cell to name the tertiary detour route." sqref="C156:G156" xr:uid="{00000000-0002-0000-0100-000017000000}"/>
    <dataValidation type="list" showInputMessage="1" showErrorMessage="1" errorTitle="Input Error" error="Value must be selected from drop-down menu." sqref="I29" xr:uid="{00000000-0002-0000-0100-000018000000}">
      <formula1>ListHCMType</formula1>
    </dataValidation>
    <dataValidation type="whole" operator="greaterThanOrEqual" allowBlank="1" showErrorMessage="1" errorTitle="Precision Error" error="Value must be a whole number greater than or equal to 0." sqref="M34:R34" xr:uid="{00000000-0002-0000-0100-000019000000}">
      <formula1>0</formula1>
    </dataValidation>
    <dataValidation type="list" showInputMessage="1" showErrorMessage="1" errorTitle="Input Error" error="Value must be selected from drop-down menu." sqref="I63:K63 M63:R63" xr:uid="{00000000-0002-0000-0100-00001A000000}">
      <formula1>ListLSWZ</formula1>
    </dataValidation>
    <dataValidation type="list" showInputMessage="1" showErrorMessage="1" errorTitle="Input Error" error="Value must be selected from drop-down menu." sqref="I64:K64 M64:R64" xr:uid="{00000000-0002-0000-0100-00001B000000}">
      <formula1>ListIntensity</formula1>
    </dataValidation>
  </dataValidations>
  <pageMargins left="0.7" right="0.7" top="0.75" bottom="0.75" header="0.3" footer="0.3"/>
  <pageSetup scale="68" orientation="landscape" r:id="rId1"/>
  <headerFooter>
    <oddHeader>&amp;C&amp;"-,Bold"&amp;16Road Users Liquidated Damages&amp;RBY __________ DATE __________
CHECK __________ DATE __________</oddHeader>
    <oddFooter>&amp;CPage &amp;P
&amp;D &amp;T
&amp;Z&amp;F</oddFooter>
  </headerFooter>
  <rowBreaks count="4" manualBreakCount="4">
    <brk id="44" min="1" max="32" man="1"/>
    <brk id="83" min="1" max="32" man="1"/>
    <brk id="120" min="1" max="32" man="1"/>
    <brk id="155" min="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S37"/>
  <sheetViews>
    <sheetView showGridLines="0" zoomScaleNormal="100" workbookViewId="0">
      <selection activeCell="L10" sqref="L10:N10"/>
    </sheetView>
  </sheetViews>
  <sheetFormatPr defaultRowHeight="15" x14ac:dyDescent="0.25"/>
  <cols>
    <col min="1" max="8" width="4.7109375" customWidth="1"/>
    <col min="9" max="9" width="4.7109375" style="35" customWidth="1"/>
    <col min="10" max="16" width="4.7109375" customWidth="1"/>
    <col min="17" max="19" width="4.7109375" style="35" customWidth="1"/>
    <col min="20" max="23" width="4.7109375" customWidth="1"/>
    <col min="24" max="24" width="4.7109375" style="35" customWidth="1"/>
    <col min="25" max="54" width="4.7109375" customWidth="1"/>
  </cols>
  <sheetData>
    <row r="1" spans="1:45" x14ac:dyDescent="0.25">
      <c r="AJ1" s="35"/>
      <c r="AK1" s="35"/>
      <c r="AL1" s="35"/>
      <c r="AM1" s="35"/>
    </row>
    <row r="2" spans="1:45" s="35" customFormat="1" ht="36" x14ac:dyDescent="0.55000000000000004">
      <c r="B2" s="776" t="s">
        <v>376</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row>
    <row r="3" spans="1:45" ht="53.25" customHeight="1" x14ac:dyDescent="0.25">
      <c r="B3" s="601" t="s">
        <v>906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35"/>
      <c r="AL3" s="35"/>
      <c r="AM3" s="35"/>
    </row>
    <row r="4" spans="1:45" x14ac:dyDescent="0.25">
      <c r="A4" s="35"/>
      <c r="B4" s="35"/>
      <c r="C4" s="35"/>
      <c r="D4" s="35"/>
      <c r="E4" s="35"/>
      <c r="G4" s="35"/>
      <c r="I4"/>
      <c r="O4" s="35"/>
      <c r="P4" s="35"/>
      <c r="T4" s="35"/>
      <c r="U4" s="35"/>
      <c r="V4" s="35"/>
      <c r="W4" s="35"/>
      <c r="Y4" s="35"/>
      <c r="Z4" s="35"/>
      <c r="AA4" s="35"/>
      <c r="AB4" s="35"/>
      <c r="AC4" s="35"/>
      <c r="AD4" s="35"/>
      <c r="AE4" s="35"/>
      <c r="AQ4" s="35"/>
      <c r="AR4" s="35"/>
      <c r="AS4" s="35"/>
    </row>
    <row r="5" spans="1:45" ht="15" customHeight="1" x14ac:dyDescent="0.25">
      <c r="A5" s="35"/>
      <c r="B5" s="35"/>
      <c r="C5" s="35"/>
      <c r="D5" s="35"/>
      <c r="E5" s="35"/>
      <c r="F5" s="778" t="str">
        <f>Tables!B96</f>
        <v>Table 17 - Hourly Distribution of Total Daily Traffic</v>
      </c>
      <c r="G5" s="778"/>
      <c r="H5" s="778"/>
      <c r="I5" s="778"/>
      <c r="J5" s="778"/>
      <c r="K5" s="778"/>
      <c r="L5" s="778"/>
      <c r="M5" s="778"/>
      <c r="N5" s="778"/>
      <c r="O5" s="778"/>
      <c r="P5" s="778"/>
      <c r="Q5" s="778"/>
      <c r="T5" s="35"/>
      <c r="U5" s="35"/>
      <c r="V5" s="35"/>
      <c r="W5" s="35"/>
      <c r="Y5" s="35"/>
      <c r="Z5" s="35"/>
      <c r="AA5" s="35"/>
      <c r="AB5" s="35"/>
      <c r="AC5" s="35"/>
      <c r="AD5" s="35"/>
      <c r="AE5" s="35"/>
      <c r="AF5" s="35"/>
      <c r="AG5" s="35"/>
    </row>
    <row r="6" spans="1:45" s="35" customFormat="1" x14ac:dyDescent="0.25">
      <c r="F6" s="778"/>
      <c r="G6" s="778"/>
      <c r="H6" s="778"/>
      <c r="I6" s="778"/>
      <c r="J6" s="778"/>
      <c r="K6" s="778"/>
      <c r="L6" s="778"/>
      <c r="M6" s="778"/>
      <c r="N6" s="778"/>
      <c r="O6" s="778"/>
      <c r="P6" s="778"/>
      <c r="Q6" s="778"/>
    </row>
    <row r="7" spans="1:45" x14ac:dyDescent="0.25">
      <c r="A7" s="35"/>
      <c r="B7" s="35"/>
      <c r="C7" s="35"/>
      <c r="D7" s="35"/>
      <c r="E7" s="35"/>
      <c r="F7" s="696" t="s">
        <v>1140</v>
      </c>
      <c r="G7" s="677"/>
      <c r="H7" s="677"/>
      <c r="I7" s="677"/>
      <c r="J7" s="677"/>
      <c r="K7" s="677"/>
      <c r="L7" s="677"/>
      <c r="M7" s="677"/>
      <c r="N7" s="677"/>
      <c r="O7" s="677"/>
      <c r="P7" s="677"/>
      <c r="Q7" s="678"/>
      <c r="T7" s="35"/>
      <c r="U7" s="35"/>
      <c r="V7" s="35"/>
      <c r="W7" s="35"/>
      <c r="Y7" s="35"/>
      <c r="Z7" s="35"/>
      <c r="AA7" s="35"/>
      <c r="AB7" s="35"/>
      <c r="AC7" s="35"/>
      <c r="AD7" s="35"/>
      <c r="AE7" s="35"/>
      <c r="AF7" s="35"/>
      <c r="AG7" s="35"/>
    </row>
    <row r="8" spans="1:45" s="35" customFormat="1" x14ac:dyDescent="0.25">
      <c r="F8" s="679" t="str">
        <f>Classification</f>
        <v>(choose a classification)</v>
      </c>
      <c r="G8" s="680"/>
      <c r="H8" s="680"/>
      <c r="I8" s="680"/>
      <c r="J8" s="680"/>
      <c r="K8" s="680"/>
      <c r="L8" s="680"/>
      <c r="M8" s="680"/>
      <c r="N8" s="680"/>
      <c r="O8" s="680"/>
      <c r="P8" s="680"/>
      <c r="Q8" s="681"/>
    </row>
    <row r="9" spans="1:45" x14ac:dyDescent="0.25">
      <c r="A9" s="35"/>
      <c r="B9" s="35"/>
      <c r="C9" s="35"/>
      <c r="D9" s="35"/>
      <c r="E9" s="35"/>
      <c r="F9" s="679" t="s">
        <v>178</v>
      </c>
      <c r="G9" s="680"/>
      <c r="H9" s="681"/>
      <c r="I9" s="777" t="s">
        <v>470</v>
      </c>
      <c r="J9" s="777"/>
      <c r="K9" s="777"/>
      <c r="L9" s="775" t="str">
        <f>FirstDirection</f>
        <v>Direction 1</v>
      </c>
      <c r="M9" s="775"/>
      <c r="N9" s="775"/>
      <c r="O9" s="775" t="str">
        <f>SecondDirection</f>
        <v>Direction 2</v>
      </c>
      <c r="P9" s="775"/>
      <c r="Q9" s="775"/>
      <c r="T9" s="35"/>
      <c r="U9" s="35"/>
      <c r="V9" s="35"/>
      <c r="W9" s="35"/>
      <c r="Y9" s="35"/>
      <c r="Z9" s="35"/>
      <c r="AA9" s="35"/>
      <c r="AB9" s="35"/>
      <c r="AC9" s="35"/>
      <c r="AD9" s="35"/>
      <c r="AE9" s="35"/>
      <c r="AF9" s="35"/>
      <c r="AG9" s="35"/>
    </row>
    <row r="10" spans="1:45" x14ac:dyDescent="0.25">
      <c r="A10" s="35"/>
      <c r="B10" s="35"/>
      <c r="C10" s="35"/>
      <c r="D10" s="35"/>
      <c r="E10" s="35"/>
      <c r="F10" s="770">
        <v>0</v>
      </c>
      <c r="G10" s="771"/>
      <c r="H10" s="772"/>
      <c r="I10" s="773" t="e">
        <f t="shared" ref="I10:I33" si="0">VLOOKUP(F10,TableHourly,CodeTPG+2)</f>
        <v>#N/A</v>
      </c>
      <c r="J10" s="773"/>
      <c r="K10" s="773"/>
      <c r="L10" s="774"/>
      <c r="M10" s="774"/>
      <c r="N10" s="774"/>
      <c r="O10" s="774"/>
      <c r="P10" s="774"/>
      <c r="Q10" s="774"/>
      <c r="T10" s="35"/>
      <c r="U10" s="35"/>
      <c r="V10" s="35"/>
      <c r="W10" s="35"/>
      <c r="Y10" s="35"/>
      <c r="Z10" s="35"/>
      <c r="AA10" s="35"/>
      <c r="AB10" s="35"/>
      <c r="AC10" s="35"/>
      <c r="AD10" s="35"/>
      <c r="AE10" s="35"/>
      <c r="AF10" s="35"/>
      <c r="AG10" s="35"/>
    </row>
    <row r="11" spans="1:45" x14ac:dyDescent="0.25">
      <c r="A11" s="35"/>
      <c r="B11" s="35"/>
      <c r="C11" s="35"/>
      <c r="D11" s="35"/>
      <c r="E11" s="35"/>
      <c r="F11" s="770">
        <f>F10+TIME(1,0,0)</f>
        <v>4.1666666666666664E-2</v>
      </c>
      <c r="G11" s="771"/>
      <c r="H11" s="772"/>
      <c r="I11" s="773" t="e">
        <f t="shared" si="0"/>
        <v>#N/A</v>
      </c>
      <c r="J11" s="773"/>
      <c r="K11" s="773"/>
      <c r="L11" s="774"/>
      <c r="M11" s="774"/>
      <c r="N11" s="774"/>
      <c r="O11" s="774"/>
      <c r="P11" s="774"/>
      <c r="Q11" s="774"/>
      <c r="T11" s="35"/>
      <c r="U11" s="35"/>
      <c r="V11" s="35"/>
      <c r="W11" s="35"/>
      <c r="Y11" s="35"/>
      <c r="Z11" s="35"/>
      <c r="AA11" s="35"/>
      <c r="AB11" s="35"/>
      <c r="AC11" s="35"/>
      <c r="AD11" s="35"/>
      <c r="AE11" s="35"/>
      <c r="AF11" s="35"/>
      <c r="AG11" s="35"/>
    </row>
    <row r="12" spans="1:45" x14ac:dyDescent="0.25">
      <c r="A12" s="35"/>
      <c r="B12" s="35"/>
      <c r="C12" s="35"/>
      <c r="D12" s="35"/>
      <c r="E12" s="35"/>
      <c r="F12" s="770">
        <f t="shared" ref="F12:F33" si="1">F11+TIME(1,0,0)</f>
        <v>8.3333333333333329E-2</v>
      </c>
      <c r="G12" s="771"/>
      <c r="H12" s="772"/>
      <c r="I12" s="773" t="e">
        <f t="shared" si="0"/>
        <v>#N/A</v>
      </c>
      <c r="J12" s="773"/>
      <c r="K12" s="773"/>
      <c r="L12" s="774"/>
      <c r="M12" s="774"/>
      <c r="N12" s="774"/>
      <c r="O12" s="774"/>
      <c r="P12" s="774"/>
      <c r="Q12" s="774"/>
      <c r="T12" s="35"/>
      <c r="U12" s="35"/>
      <c r="V12" s="35"/>
      <c r="W12" s="35"/>
      <c r="Y12" s="35"/>
      <c r="Z12" s="35"/>
      <c r="AA12" s="35"/>
      <c r="AB12" s="35"/>
      <c r="AC12" s="35"/>
      <c r="AD12" s="35"/>
      <c r="AE12" s="35"/>
      <c r="AF12" s="35"/>
      <c r="AG12" s="35"/>
    </row>
    <row r="13" spans="1:45" x14ac:dyDescent="0.25">
      <c r="A13" s="35"/>
      <c r="B13" s="35"/>
      <c r="C13" s="35"/>
      <c r="D13" s="35"/>
      <c r="E13" s="35"/>
      <c r="F13" s="770">
        <f t="shared" si="1"/>
        <v>0.125</v>
      </c>
      <c r="G13" s="771"/>
      <c r="H13" s="772"/>
      <c r="I13" s="773" t="e">
        <f t="shared" si="0"/>
        <v>#N/A</v>
      </c>
      <c r="J13" s="773"/>
      <c r="K13" s="773"/>
      <c r="L13" s="774"/>
      <c r="M13" s="774"/>
      <c r="N13" s="774"/>
      <c r="O13" s="774"/>
      <c r="P13" s="774"/>
      <c r="Q13" s="774"/>
      <c r="T13" s="35"/>
      <c r="U13" s="35"/>
      <c r="V13" s="35"/>
      <c r="W13" s="35"/>
      <c r="Y13" s="35"/>
      <c r="Z13" s="35"/>
      <c r="AA13" s="35"/>
      <c r="AB13" s="35"/>
      <c r="AC13" s="35"/>
      <c r="AD13" s="35"/>
      <c r="AE13" s="35"/>
      <c r="AF13" s="35"/>
      <c r="AG13" s="35"/>
    </row>
    <row r="14" spans="1:45" x14ac:dyDescent="0.25">
      <c r="A14" s="35"/>
      <c r="B14" s="35"/>
      <c r="C14" s="35"/>
      <c r="D14" s="35"/>
      <c r="E14" s="35"/>
      <c r="F14" s="770">
        <f t="shared" si="1"/>
        <v>0.16666666666666666</v>
      </c>
      <c r="G14" s="771"/>
      <c r="H14" s="772"/>
      <c r="I14" s="773" t="e">
        <f t="shared" si="0"/>
        <v>#N/A</v>
      </c>
      <c r="J14" s="773"/>
      <c r="K14" s="773"/>
      <c r="L14" s="774"/>
      <c r="M14" s="774"/>
      <c r="N14" s="774"/>
      <c r="O14" s="774"/>
      <c r="P14" s="774"/>
      <c r="Q14" s="774"/>
      <c r="T14" s="35"/>
      <c r="U14" s="35"/>
      <c r="V14" s="35"/>
      <c r="W14" s="35"/>
      <c r="Y14" s="35"/>
      <c r="Z14" s="35"/>
      <c r="AA14" s="35"/>
      <c r="AB14" s="35"/>
      <c r="AC14" s="35"/>
      <c r="AD14" s="35"/>
      <c r="AE14" s="35"/>
      <c r="AF14" s="35"/>
      <c r="AG14" s="35"/>
    </row>
    <row r="15" spans="1:45" x14ac:dyDescent="0.25">
      <c r="A15" s="35"/>
      <c r="B15" s="35"/>
      <c r="C15" s="35"/>
      <c r="D15" s="35"/>
      <c r="E15" s="35"/>
      <c r="F15" s="770">
        <f t="shared" si="1"/>
        <v>0.20833333333333331</v>
      </c>
      <c r="G15" s="771"/>
      <c r="H15" s="772"/>
      <c r="I15" s="773" t="e">
        <f t="shared" si="0"/>
        <v>#N/A</v>
      </c>
      <c r="J15" s="773"/>
      <c r="K15" s="773"/>
      <c r="L15" s="774"/>
      <c r="M15" s="774"/>
      <c r="N15" s="774"/>
      <c r="O15" s="774"/>
      <c r="P15" s="774"/>
      <c r="Q15" s="774"/>
      <c r="T15" s="35"/>
      <c r="U15" s="35"/>
      <c r="V15" s="35"/>
      <c r="W15" s="35"/>
      <c r="Y15" s="35"/>
      <c r="Z15" s="35"/>
      <c r="AA15" s="35"/>
      <c r="AB15" s="35"/>
      <c r="AC15" s="35"/>
      <c r="AD15" s="35"/>
      <c r="AE15" s="35"/>
      <c r="AF15" s="35"/>
      <c r="AG15" s="35"/>
    </row>
    <row r="16" spans="1:45" x14ac:dyDescent="0.25">
      <c r="A16" s="35"/>
      <c r="B16" s="35"/>
      <c r="C16" s="35"/>
      <c r="D16" s="35"/>
      <c r="E16" s="35"/>
      <c r="F16" s="770">
        <f t="shared" si="1"/>
        <v>0.24999999999999997</v>
      </c>
      <c r="G16" s="771"/>
      <c r="H16" s="772"/>
      <c r="I16" s="773" t="e">
        <f t="shared" si="0"/>
        <v>#N/A</v>
      </c>
      <c r="J16" s="773"/>
      <c r="K16" s="773"/>
      <c r="L16" s="774"/>
      <c r="M16" s="774"/>
      <c r="N16" s="774"/>
      <c r="O16" s="774"/>
      <c r="P16" s="774"/>
      <c r="Q16" s="774"/>
      <c r="T16" s="35"/>
      <c r="U16" s="35"/>
      <c r="V16" s="35"/>
      <c r="W16" s="35"/>
      <c r="Y16" s="35"/>
      <c r="Z16" s="35"/>
      <c r="AA16" s="35"/>
      <c r="AB16" s="35"/>
      <c r="AC16" s="35"/>
      <c r="AD16" s="35"/>
      <c r="AE16" s="35"/>
      <c r="AF16" s="35"/>
      <c r="AG16" s="35"/>
    </row>
    <row r="17" spans="1:33" x14ac:dyDescent="0.25">
      <c r="A17" s="35"/>
      <c r="B17" s="35"/>
      <c r="C17" s="35"/>
      <c r="D17" s="35"/>
      <c r="E17" s="35"/>
      <c r="F17" s="770">
        <f t="shared" si="1"/>
        <v>0.29166666666666663</v>
      </c>
      <c r="G17" s="771"/>
      <c r="H17" s="772"/>
      <c r="I17" s="773" t="e">
        <f t="shared" si="0"/>
        <v>#N/A</v>
      </c>
      <c r="J17" s="773"/>
      <c r="K17" s="773"/>
      <c r="L17" s="774"/>
      <c r="M17" s="774"/>
      <c r="N17" s="774"/>
      <c r="O17" s="774"/>
      <c r="P17" s="774"/>
      <c r="Q17" s="774"/>
      <c r="T17" s="35"/>
      <c r="U17" s="35"/>
      <c r="V17" s="35"/>
      <c r="W17" s="35"/>
      <c r="Y17" s="35"/>
      <c r="Z17" s="35"/>
      <c r="AA17" s="35"/>
      <c r="AB17" s="35"/>
      <c r="AC17" s="35"/>
      <c r="AD17" s="35"/>
      <c r="AE17" s="35"/>
      <c r="AF17" s="35"/>
      <c r="AG17" s="35"/>
    </row>
    <row r="18" spans="1:33" x14ac:dyDescent="0.25">
      <c r="A18" s="35"/>
      <c r="B18" s="35"/>
      <c r="C18" s="35"/>
      <c r="D18" s="35"/>
      <c r="E18" s="35"/>
      <c r="F18" s="770">
        <f t="shared" si="1"/>
        <v>0.33333333333333331</v>
      </c>
      <c r="G18" s="771"/>
      <c r="H18" s="772"/>
      <c r="I18" s="773" t="e">
        <f t="shared" si="0"/>
        <v>#N/A</v>
      </c>
      <c r="J18" s="773"/>
      <c r="K18" s="773"/>
      <c r="L18" s="774"/>
      <c r="M18" s="774"/>
      <c r="N18" s="774"/>
      <c r="O18" s="774"/>
      <c r="P18" s="774"/>
      <c r="Q18" s="774"/>
      <c r="T18" s="35"/>
      <c r="U18" s="35"/>
      <c r="V18" s="35"/>
      <c r="W18" s="35"/>
      <c r="Y18" s="35"/>
      <c r="Z18" s="35"/>
      <c r="AA18" s="35"/>
      <c r="AB18" s="35"/>
      <c r="AC18" s="35"/>
      <c r="AD18" s="35"/>
      <c r="AE18" s="35"/>
      <c r="AF18" s="35"/>
      <c r="AG18" s="35"/>
    </row>
    <row r="19" spans="1:33" x14ac:dyDescent="0.25">
      <c r="A19" s="35"/>
      <c r="B19" s="35"/>
      <c r="C19" s="35"/>
      <c r="D19" s="35"/>
      <c r="E19" s="35"/>
      <c r="F19" s="770">
        <f t="shared" si="1"/>
        <v>0.375</v>
      </c>
      <c r="G19" s="771"/>
      <c r="H19" s="772"/>
      <c r="I19" s="773" t="e">
        <f t="shared" si="0"/>
        <v>#N/A</v>
      </c>
      <c r="J19" s="773"/>
      <c r="K19" s="773"/>
      <c r="L19" s="774"/>
      <c r="M19" s="774"/>
      <c r="N19" s="774"/>
      <c r="O19" s="774"/>
      <c r="P19" s="774"/>
      <c r="Q19" s="774"/>
      <c r="T19" s="35"/>
      <c r="U19" s="35"/>
      <c r="V19" s="35"/>
      <c r="W19" s="35"/>
      <c r="Y19" s="35"/>
      <c r="Z19" s="35"/>
      <c r="AA19" s="35"/>
      <c r="AB19" s="35"/>
      <c r="AC19" s="35"/>
      <c r="AD19" s="35"/>
      <c r="AE19" s="35"/>
      <c r="AF19" s="35"/>
      <c r="AG19" s="35"/>
    </row>
    <row r="20" spans="1:33" x14ac:dyDescent="0.25">
      <c r="A20" s="35"/>
      <c r="B20" s="35"/>
      <c r="C20" s="35"/>
      <c r="D20" s="35"/>
      <c r="E20" s="35"/>
      <c r="F20" s="770">
        <f t="shared" si="1"/>
        <v>0.41666666666666669</v>
      </c>
      <c r="G20" s="771"/>
      <c r="H20" s="772"/>
      <c r="I20" s="773" t="e">
        <f t="shared" si="0"/>
        <v>#N/A</v>
      </c>
      <c r="J20" s="773"/>
      <c r="K20" s="773"/>
      <c r="L20" s="774"/>
      <c r="M20" s="774"/>
      <c r="N20" s="774"/>
      <c r="O20" s="774"/>
      <c r="P20" s="774"/>
      <c r="Q20" s="774"/>
      <c r="T20" s="35"/>
      <c r="U20" s="35"/>
      <c r="V20" s="35"/>
      <c r="W20" s="35"/>
      <c r="Y20" s="35"/>
      <c r="Z20" s="35"/>
      <c r="AA20" s="35"/>
      <c r="AB20" s="35"/>
      <c r="AC20" s="35"/>
      <c r="AD20" s="35"/>
      <c r="AE20" s="35"/>
      <c r="AF20" s="35"/>
      <c r="AG20" s="35"/>
    </row>
    <row r="21" spans="1:33" x14ac:dyDescent="0.25">
      <c r="A21" s="35"/>
      <c r="B21" s="35"/>
      <c r="C21" s="35"/>
      <c r="D21" s="35"/>
      <c r="E21" s="35"/>
      <c r="F21" s="770">
        <f t="shared" si="1"/>
        <v>0.45833333333333337</v>
      </c>
      <c r="G21" s="771"/>
      <c r="H21" s="772"/>
      <c r="I21" s="773" t="e">
        <f t="shared" si="0"/>
        <v>#N/A</v>
      </c>
      <c r="J21" s="773"/>
      <c r="K21" s="773"/>
      <c r="L21" s="774"/>
      <c r="M21" s="774"/>
      <c r="N21" s="774"/>
      <c r="O21" s="774"/>
      <c r="P21" s="774"/>
      <c r="Q21" s="774"/>
      <c r="T21" s="35"/>
      <c r="U21" s="35"/>
      <c r="V21" s="35"/>
      <c r="W21" s="35"/>
      <c r="Y21" s="35"/>
      <c r="Z21" s="35"/>
      <c r="AA21" s="35"/>
      <c r="AB21" s="35"/>
      <c r="AC21" s="35"/>
      <c r="AD21" s="35"/>
      <c r="AE21" s="35"/>
      <c r="AF21" s="35"/>
      <c r="AG21" s="35"/>
    </row>
    <row r="22" spans="1:33" x14ac:dyDescent="0.25">
      <c r="A22" s="35"/>
      <c r="B22" s="35"/>
      <c r="C22" s="35"/>
      <c r="D22" s="35"/>
      <c r="E22" s="35"/>
      <c r="F22" s="770">
        <f t="shared" si="1"/>
        <v>0.5</v>
      </c>
      <c r="G22" s="771"/>
      <c r="H22" s="772"/>
      <c r="I22" s="773" t="e">
        <f t="shared" si="0"/>
        <v>#N/A</v>
      </c>
      <c r="J22" s="773"/>
      <c r="K22" s="773"/>
      <c r="L22" s="774"/>
      <c r="M22" s="774"/>
      <c r="N22" s="774"/>
      <c r="O22" s="774"/>
      <c r="P22" s="774"/>
      <c r="Q22" s="774"/>
      <c r="T22" s="35"/>
      <c r="U22" s="35"/>
      <c r="V22" s="35"/>
      <c r="W22" s="35"/>
      <c r="Y22" s="35"/>
      <c r="Z22" s="35"/>
      <c r="AA22" s="35"/>
      <c r="AB22" s="35"/>
      <c r="AC22" s="35"/>
      <c r="AD22" s="35"/>
      <c r="AE22" s="35"/>
      <c r="AF22" s="35"/>
      <c r="AG22" s="35"/>
    </row>
    <row r="23" spans="1:33" x14ac:dyDescent="0.25">
      <c r="A23" s="35"/>
      <c r="B23" s="35"/>
      <c r="C23" s="35"/>
      <c r="D23" s="35"/>
      <c r="E23" s="35"/>
      <c r="F23" s="770">
        <f t="shared" si="1"/>
        <v>0.54166666666666663</v>
      </c>
      <c r="G23" s="771"/>
      <c r="H23" s="772"/>
      <c r="I23" s="773" t="e">
        <f t="shared" si="0"/>
        <v>#N/A</v>
      </c>
      <c r="J23" s="773"/>
      <c r="K23" s="773"/>
      <c r="L23" s="774"/>
      <c r="M23" s="774"/>
      <c r="N23" s="774"/>
      <c r="O23" s="774"/>
      <c r="P23" s="774"/>
      <c r="Q23" s="774"/>
      <c r="T23" s="35"/>
      <c r="U23" s="35"/>
      <c r="V23" s="35"/>
      <c r="W23" s="35"/>
      <c r="Y23" s="35"/>
      <c r="Z23" s="35"/>
      <c r="AA23" s="35"/>
      <c r="AB23" s="35"/>
      <c r="AC23" s="35"/>
      <c r="AD23" s="35"/>
      <c r="AE23" s="35"/>
      <c r="AF23" s="35"/>
      <c r="AG23" s="35"/>
    </row>
    <row r="24" spans="1:33" x14ac:dyDescent="0.25">
      <c r="A24" s="35"/>
      <c r="B24" s="35"/>
      <c r="C24" s="35"/>
      <c r="D24" s="35"/>
      <c r="E24" s="35"/>
      <c r="F24" s="770">
        <f t="shared" si="1"/>
        <v>0.58333333333333326</v>
      </c>
      <c r="G24" s="771"/>
      <c r="H24" s="772"/>
      <c r="I24" s="773" t="e">
        <f t="shared" si="0"/>
        <v>#N/A</v>
      </c>
      <c r="J24" s="773"/>
      <c r="K24" s="773"/>
      <c r="L24" s="774"/>
      <c r="M24" s="774"/>
      <c r="N24" s="774"/>
      <c r="O24" s="774"/>
      <c r="P24" s="774"/>
      <c r="Q24" s="774"/>
      <c r="T24" s="35"/>
      <c r="U24" s="35"/>
      <c r="V24" s="35"/>
      <c r="W24" s="35"/>
      <c r="Y24" s="35"/>
      <c r="Z24" s="35"/>
      <c r="AA24" s="35"/>
      <c r="AB24" s="35"/>
      <c r="AC24" s="35"/>
      <c r="AD24" s="35"/>
      <c r="AE24" s="35"/>
      <c r="AF24" s="35"/>
      <c r="AG24" s="35"/>
    </row>
    <row r="25" spans="1:33" x14ac:dyDescent="0.25">
      <c r="A25" s="35"/>
      <c r="B25" s="35"/>
      <c r="C25" s="35"/>
      <c r="D25" s="35"/>
      <c r="E25" s="35"/>
      <c r="F25" s="770">
        <f t="shared" si="1"/>
        <v>0.62499999999999989</v>
      </c>
      <c r="G25" s="771"/>
      <c r="H25" s="772"/>
      <c r="I25" s="773" t="e">
        <f t="shared" si="0"/>
        <v>#N/A</v>
      </c>
      <c r="J25" s="773"/>
      <c r="K25" s="773"/>
      <c r="L25" s="774"/>
      <c r="M25" s="774"/>
      <c r="N25" s="774"/>
      <c r="O25" s="774"/>
      <c r="P25" s="774"/>
      <c r="Q25" s="774"/>
      <c r="T25" s="35"/>
      <c r="U25" s="35"/>
      <c r="V25" s="35"/>
      <c r="W25" s="35"/>
      <c r="Y25" s="35"/>
      <c r="Z25" s="35"/>
      <c r="AA25" s="35"/>
      <c r="AB25" s="35"/>
      <c r="AC25" s="35"/>
      <c r="AD25" s="35"/>
      <c r="AE25" s="35"/>
      <c r="AF25" s="35"/>
      <c r="AG25" s="35"/>
    </row>
    <row r="26" spans="1:33" x14ac:dyDescent="0.25">
      <c r="A26" s="35"/>
      <c r="B26" s="35"/>
      <c r="C26" s="35"/>
      <c r="D26" s="35"/>
      <c r="E26" s="35"/>
      <c r="F26" s="770">
        <f t="shared" si="1"/>
        <v>0.66666666666666652</v>
      </c>
      <c r="G26" s="771"/>
      <c r="H26" s="772"/>
      <c r="I26" s="773" t="e">
        <f t="shared" si="0"/>
        <v>#N/A</v>
      </c>
      <c r="J26" s="773"/>
      <c r="K26" s="773"/>
      <c r="L26" s="774"/>
      <c r="M26" s="774"/>
      <c r="N26" s="774"/>
      <c r="O26" s="774"/>
      <c r="P26" s="774"/>
      <c r="Q26" s="774"/>
      <c r="T26" s="35"/>
      <c r="U26" s="35"/>
      <c r="V26" s="35"/>
      <c r="W26" s="35"/>
      <c r="Y26" s="35"/>
      <c r="Z26" s="35"/>
      <c r="AA26" s="35"/>
      <c r="AB26" s="35"/>
      <c r="AC26" s="35"/>
      <c r="AD26" s="35"/>
      <c r="AE26" s="35"/>
      <c r="AF26" s="35"/>
      <c r="AG26" s="35"/>
    </row>
    <row r="27" spans="1:33" x14ac:dyDescent="0.25">
      <c r="A27" s="35"/>
      <c r="B27" s="35"/>
      <c r="C27" s="35"/>
      <c r="D27" s="35"/>
      <c r="E27" s="35"/>
      <c r="F27" s="770">
        <f t="shared" si="1"/>
        <v>0.70833333333333315</v>
      </c>
      <c r="G27" s="771"/>
      <c r="H27" s="772"/>
      <c r="I27" s="773" t="e">
        <f t="shared" si="0"/>
        <v>#N/A</v>
      </c>
      <c r="J27" s="773"/>
      <c r="K27" s="773"/>
      <c r="L27" s="774"/>
      <c r="M27" s="774"/>
      <c r="N27" s="774"/>
      <c r="O27" s="774"/>
      <c r="P27" s="774"/>
      <c r="Q27" s="774"/>
      <c r="T27" s="35"/>
      <c r="U27" s="35"/>
      <c r="V27" s="35"/>
      <c r="W27" s="35"/>
      <c r="Y27" s="35"/>
      <c r="Z27" s="35"/>
      <c r="AA27" s="35"/>
      <c r="AB27" s="35"/>
      <c r="AC27" s="35"/>
      <c r="AD27" s="35"/>
      <c r="AE27" s="35"/>
      <c r="AF27" s="35"/>
      <c r="AG27" s="35"/>
    </row>
    <row r="28" spans="1:33" x14ac:dyDescent="0.25">
      <c r="A28" s="35"/>
      <c r="B28" s="35"/>
      <c r="C28" s="35"/>
      <c r="D28" s="35"/>
      <c r="E28" s="35"/>
      <c r="F28" s="770">
        <f t="shared" si="1"/>
        <v>0.74999999999999978</v>
      </c>
      <c r="G28" s="771"/>
      <c r="H28" s="772"/>
      <c r="I28" s="773" t="e">
        <f t="shared" si="0"/>
        <v>#N/A</v>
      </c>
      <c r="J28" s="773"/>
      <c r="K28" s="773"/>
      <c r="L28" s="774"/>
      <c r="M28" s="774"/>
      <c r="N28" s="774"/>
      <c r="O28" s="774"/>
      <c r="P28" s="774"/>
      <c r="Q28" s="774"/>
      <c r="T28" s="35"/>
      <c r="U28" s="35"/>
      <c r="V28" s="35"/>
      <c r="W28" s="35"/>
      <c r="Y28" s="35"/>
      <c r="Z28" s="35"/>
      <c r="AA28" s="35"/>
      <c r="AB28" s="35"/>
      <c r="AC28" s="35"/>
      <c r="AD28" s="35"/>
      <c r="AE28" s="35"/>
      <c r="AF28" s="35"/>
      <c r="AG28" s="35"/>
    </row>
    <row r="29" spans="1:33" x14ac:dyDescent="0.25">
      <c r="A29" s="35"/>
      <c r="B29" s="35"/>
      <c r="C29" s="35"/>
      <c r="D29" s="35"/>
      <c r="E29" s="35"/>
      <c r="F29" s="770">
        <f t="shared" si="1"/>
        <v>0.79166666666666641</v>
      </c>
      <c r="G29" s="771"/>
      <c r="H29" s="772"/>
      <c r="I29" s="773" t="e">
        <f t="shared" si="0"/>
        <v>#N/A</v>
      </c>
      <c r="J29" s="773"/>
      <c r="K29" s="773"/>
      <c r="L29" s="774"/>
      <c r="M29" s="774"/>
      <c r="N29" s="774"/>
      <c r="O29" s="774"/>
      <c r="P29" s="774"/>
      <c r="Q29" s="774"/>
      <c r="T29" s="35"/>
      <c r="U29" s="35"/>
      <c r="V29" s="35"/>
      <c r="W29" s="35"/>
      <c r="Y29" s="35"/>
      <c r="Z29" s="35"/>
      <c r="AA29" s="35"/>
      <c r="AB29" s="35"/>
      <c r="AC29" s="35"/>
      <c r="AD29" s="35"/>
      <c r="AE29" s="35"/>
      <c r="AF29" s="35"/>
      <c r="AG29" s="35"/>
    </row>
    <row r="30" spans="1:33" x14ac:dyDescent="0.25">
      <c r="A30" s="35"/>
      <c r="B30" s="35"/>
      <c r="C30" s="35"/>
      <c r="D30" s="35"/>
      <c r="E30" s="35"/>
      <c r="F30" s="770">
        <f t="shared" si="1"/>
        <v>0.83333333333333304</v>
      </c>
      <c r="G30" s="771"/>
      <c r="H30" s="772"/>
      <c r="I30" s="773" t="e">
        <f t="shared" si="0"/>
        <v>#N/A</v>
      </c>
      <c r="J30" s="773"/>
      <c r="K30" s="773"/>
      <c r="L30" s="774"/>
      <c r="M30" s="774"/>
      <c r="N30" s="774"/>
      <c r="O30" s="774"/>
      <c r="P30" s="774"/>
      <c r="Q30" s="774"/>
      <c r="T30" s="35"/>
      <c r="U30" s="35"/>
      <c r="V30" s="35"/>
      <c r="W30" s="35"/>
      <c r="Y30" s="35"/>
      <c r="Z30" s="35"/>
      <c r="AA30" s="35"/>
      <c r="AB30" s="35"/>
      <c r="AC30" s="35"/>
      <c r="AD30" s="35"/>
      <c r="AE30" s="35"/>
      <c r="AF30" s="35"/>
      <c r="AG30" s="35"/>
    </row>
    <row r="31" spans="1:33" x14ac:dyDescent="0.25">
      <c r="A31" s="35"/>
      <c r="B31" s="35"/>
      <c r="C31" s="35"/>
      <c r="D31" s="35"/>
      <c r="E31" s="35"/>
      <c r="F31" s="770">
        <f t="shared" si="1"/>
        <v>0.87499999999999967</v>
      </c>
      <c r="G31" s="771"/>
      <c r="H31" s="772"/>
      <c r="I31" s="773" t="e">
        <f t="shared" si="0"/>
        <v>#N/A</v>
      </c>
      <c r="J31" s="773"/>
      <c r="K31" s="773"/>
      <c r="L31" s="774"/>
      <c r="M31" s="774"/>
      <c r="N31" s="774"/>
      <c r="O31" s="774"/>
      <c r="P31" s="774"/>
      <c r="Q31" s="774"/>
      <c r="T31" s="35"/>
      <c r="U31" s="35"/>
      <c r="V31" s="35"/>
      <c r="W31" s="35"/>
      <c r="Y31" s="35"/>
      <c r="Z31" s="35"/>
      <c r="AA31" s="35"/>
      <c r="AB31" s="35"/>
      <c r="AC31" s="35"/>
      <c r="AD31" s="35"/>
      <c r="AE31" s="35"/>
      <c r="AF31" s="35"/>
      <c r="AG31" s="35"/>
    </row>
    <row r="32" spans="1:33" x14ac:dyDescent="0.25">
      <c r="A32" s="35"/>
      <c r="B32" s="35"/>
      <c r="C32" s="35"/>
      <c r="D32" s="35"/>
      <c r="E32" s="35"/>
      <c r="F32" s="770">
        <f t="shared" si="1"/>
        <v>0.9166666666666663</v>
      </c>
      <c r="G32" s="771"/>
      <c r="H32" s="772"/>
      <c r="I32" s="773" t="e">
        <f t="shared" si="0"/>
        <v>#N/A</v>
      </c>
      <c r="J32" s="773"/>
      <c r="K32" s="773"/>
      <c r="L32" s="774"/>
      <c r="M32" s="774"/>
      <c r="N32" s="774"/>
      <c r="O32" s="774"/>
      <c r="P32" s="774"/>
      <c r="Q32" s="774"/>
      <c r="T32" s="35"/>
      <c r="U32" s="35"/>
      <c r="V32" s="35"/>
      <c r="W32" s="35"/>
      <c r="Y32" s="35"/>
      <c r="Z32" s="35"/>
      <c r="AA32" s="35"/>
      <c r="AB32" s="35"/>
      <c r="AC32" s="35"/>
      <c r="AD32" s="35"/>
      <c r="AE32" s="35"/>
      <c r="AF32" s="35"/>
      <c r="AG32" s="35"/>
    </row>
    <row r="33" spans="1:33" x14ac:dyDescent="0.25">
      <c r="A33" s="35"/>
      <c r="B33" s="35"/>
      <c r="C33" s="35"/>
      <c r="D33" s="35"/>
      <c r="E33" s="35"/>
      <c r="F33" s="770">
        <f t="shared" si="1"/>
        <v>0.95833333333333293</v>
      </c>
      <c r="G33" s="771"/>
      <c r="H33" s="772"/>
      <c r="I33" s="773" t="e">
        <f t="shared" si="0"/>
        <v>#N/A</v>
      </c>
      <c r="J33" s="773"/>
      <c r="K33" s="773"/>
      <c r="L33" s="774"/>
      <c r="M33" s="774"/>
      <c r="N33" s="774"/>
      <c r="O33" s="774"/>
      <c r="P33" s="774"/>
      <c r="Q33" s="774"/>
      <c r="T33" s="35"/>
      <c r="U33" s="35"/>
      <c r="V33" s="35"/>
      <c r="W33" s="35"/>
      <c r="Y33" s="35"/>
      <c r="Z33" s="35"/>
      <c r="AA33" s="35"/>
      <c r="AB33" s="35"/>
      <c r="AC33" s="35"/>
      <c r="AD33" s="35"/>
      <c r="AE33" s="35"/>
      <c r="AF33" s="35"/>
      <c r="AG33" s="35"/>
    </row>
    <row r="34" spans="1:33" x14ac:dyDescent="0.25">
      <c r="A34" s="35"/>
      <c r="B34" s="35"/>
      <c r="C34" s="35"/>
      <c r="D34" s="35"/>
      <c r="E34" s="35"/>
      <c r="F34" s="770" t="s">
        <v>301</v>
      </c>
      <c r="G34" s="771"/>
      <c r="H34" s="772"/>
      <c r="I34" s="773" t="e">
        <f>SUM(I10:K33)</f>
        <v>#N/A</v>
      </c>
      <c r="J34" s="773"/>
      <c r="K34" s="773"/>
      <c r="L34" s="773">
        <f>SUM(L10:N33)</f>
        <v>0</v>
      </c>
      <c r="M34" s="773"/>
      <c r="N34" s="773"/>
      <c r="O34" s="773">
        <f>SUM(O10:Q33)</f>
        <v>0</v>
      </c>
      <c r="P34" s="773"/>
      <c r="Q34" s="773"/>
      <c r="X34"/>
      <c r="AE34" s="35"/>
    </row>
    <row r="35" spans="1:33" x14ac:dyDescent="0.25">
      <c r="A35" s="35"/>
      <c r="B35" s="35"/>
      <c r="C35" s="35"/>
      <c r="D35" s="35"/>
      <c r="E35" s="35"/>
      <c r="F35" s="780" t="str">
        <f>IF(L34&gt;0,IF(L34&lt;&gt;100,"Total must equal 100.00",""),"")</f>
        <v/>
      </c>
      <c r="G35" s="780"/>
      <c r="H35" s="780"/>
      <c r="I35" s="780"/>
      <c r="J35" s="780"/>
      <c r="K35" s="780"/>
      <c r="L35" s="780"/>
      <c r="M35" s="780"/>
      <c r="N35" s="780"/>
      <c r="O35" s="780"/>
      <c r="P35" s="780"/>
      <c r="Q35" s="780"/>
      <c r="X35"/>
      <c r="AE35" s="35"/>
    </row>
    <row r="36" spans="1:33" x14ac:dyDescent="0.25">
      <c r="C36" s="35"/>
      <c r="D36" s="35"/>
      <c r="F36" s="779" t="str">
        <f>IF(O34&gt;0,IF(O34&lt;&gt;100,"Total must equal 100.00",""),"")</f>
        <v/>
      </c>
      <c r="G36" s="779"/>
      <c r="H36" s="779"/>
      <c r="I36" s="779"/>
      <c r="J36" s="779"/>
      <c r="K36" s="779"/>
      <c r="L36" s="779"/>
      <c r="M36" s="779"/>
      <c r="N36" s="779"/>
      <c r="O36" s="779"/>
      <c r="P36" s="779"/>
      <c r="Q36" s="779"/>
      <c r="X36"/>
    </row>
    <row r="37" spans="1:33" x14ac:dyDescent="0.25">
      <c r="C37" s="35"/>
      <c r="F37" s="52" t="s">
        <v>828</v>
      </c>
      <c r="X37"/>
      <c r="Y37" s="35"/>
    </row>
  </sheetData>
  <sheetProtection password="B9FF" sheet="1" objects="1" scenarios="1"/>
  <mergeCells count="111">
    <mergeCell ref="F36:Q36"/>
    <mergeCell ref="F35:Q35"/>
    <mergeCell ref="O26:Q26"/>
    <mergeCell ref="O27:Q27"/>
    <mergeCell ref="O28:Q28"/>
    <mergeCell ref="O29:Q29"/>
    <mergeCell ref="O30:Q30"/>
    <mergeCell ref="O31:Q31"/>
    <mergeCell ref="O32:Q32"/>
    <mergeCell ref="O33:Q33"/>
    <mergeCell ref="O34:Q34"/>
    <mergeCell ref="F31:H31"/>
    <mergeCell ref="F32:H32"/>
    <mergeCell ref="F33:H33"/>
    <mergeCell ref="F34:H34"/>
    <mergeCell ref="L26:N26"/>
    <mergeCell ref="I34:K34"/>
    <mergeCell ref="L34:N34"/>
    <mergeCell ref="I30:K30"/>
    <mergeCell ref="L30:N30"/>
    <mergeCell ref="I31:K31"/>
    <mergeCell ref="L31:N31"/>
    <mergeCell ref="I32:K32"/>
    <mergeCell ref="L32:N32"/>
    <mergeCell ref="B2:AJ2"/>
    <mergeCell ref="F7:Q7"/>
    <mergeCell ref="O9:Q9"/>
    <mergeCell ref="O10:Q10"/>
    <mergeCell ref="O11:Q11"/>
    <mergeCell ref="O12:Q12"/>
    <mergeCell ref="O13:Q13"/>
    <mergeCell ref="O14:Q14"/>
    <mergeCell ref="O15:Q15"/>
    <mergeCell ref="I9:K9"/>
    <mergeCell ref="I10:K10"/>
    <mergeCell ref="B3:AJ3"/>
    <mergeCell ref="F14:H14"/>
    <mergeCell ref="F5:Q6"/>
    <mergeCell ref="F8:Q8"/>
    <mergeCell ref="O16:Q16"/>
    <mergeCell ref="O17:Q17"/>
    <mergeCell ref="O18:Q18"/>
    <mergeCell ref="O19:Q19"/>
    <mergeCell ref="O20:Q20"/>
    <mergeCell ref="O21:Q21"/>
    <mergeCell ref="O22:Q22"/>
    <mergeCell ref="O23:Q23"/>
    <mergeCell ref="O24:Q24"/>
    <mergeCell ref="O25:Q25"/>
    <mergeCell ref="I15:K15"/>
    <mergeCell ref="L15:N15"/>
    <mergeCell ref="I14:K14"/>
    <mergeCell ref="L14:N14"/>
    <mergeCell ref="F9:H9"/>
    <mergeCell ref="F13:H13"/>
    <mergeCell ref="F12:H12"/>
    <mergeCell ref="F11:H11"/>
    <mergeCell ref="F10:H10"/>
    <mergeCell ref="I12:K12"/>
    <mergeCell ref="L12:N12"/>
    <mergeCell ref="I13:K13"/>
    <mergeCell ref="L13:N13"/>
    <mergeCell ref="L10:N10"/>
    <mergeCell ref="L9:N9"/>
    <mergeCell ref="I11:K11"/>
    <mergeCell ref="L11:N11"/>
    <mergeCell ref="F16:H16"/>
    <mergeCell ref="F15:H15"/>
    <mergeCell ref="F17:H17"/>
    <mergeCell ref="F18:H18"/>
    <mergeCell ref="I18:K18"/>
    <mergeCell ref="L18:N18"/>
    <mergeCell ref="L27:N27"/>
    <mergeCell ref="I28:K28"/>
    <mergeCell ref="L28:N28"/>
    <mergeCell ref="I29:K29"/>
    <mergeCell ref="L29:N29"/>
    <mergeCell ref="I33:K33"/>
    <mergeCell ref="L33:N33"/>
    <mergeCell ref="L24:N24"/>
    <mergeCell ref="I25:K25"/>
    <mergeCell ref="L25:N25"/>
    <mergeCell ref="I26:K26"/>
    <mergeCell ref="L16:N16"/>
    <mergeCell ref="I17:K17"/>
    <mergeCell ref="L17:N17"/>
    <mergeCell ref="L20:N20"/>
    <mergeCell ref="I24:K24"/>
    <mergeCell ref="F22:H22"/>
    <mergeCell ref="F19:H19"/>
    <mergeCell ref="F20:H20"/>
    <mergeCell ref="F21:H21"/>
    <mergeCell ref="I21:K21"/>
    <mergeCell ref="L21:N21"/>
    <mergeCell ref="I22:K22"/>
    <mergeCell ref="L22:N22"/>
    <mergeCell ref="I23:K23"/>
    <mergeCell ref="L23:N23"/>
    <mergeCell ref="I19:K19"/>
    <mergeCell ref="L19:N19"/>
    <mergeCell ref="I20:K20"/>
    <mergeCell ref="F27:H27"/>
    <mergeCell ref="F28:H28"/>
    <mergeCell ref="F29:H29"/>
    <mergeCell ref="F30:H30"/>
    <mergeCell ref="F23:H23"/>
    <mergeCell ref="F24:H24"/>
    <mergeCell ref="F25:H25"/>
    <mergeCell ref="F26:H26"/>
    <mergeCell ref="I16:K16"/>
    <mergeCell ref="I27:K27"/>
  </mergeCells>
  <conditionalFormatting sqref="F35">
    <cfRule type="notContainsBlanks" dxfId="56" priority="3">
      <formula>LEN(TRIM(F35))&gt;0</formula>
    </cfRule>
  </conditionalFormatting>
  <conditionalFormatting sqref="F36">
    <cfRule type="notContainsBlanks" dxfId="55" priority="1">
      <formula>LEN(TRIM(F36))&gt;0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B2:Q284"/>
  <sheetViews>
    <sheetView showGridLines="0" zoomScaleNormal="100" zoomScaleSheetLayoutView="90" workbookViewId="0"/>
  </sheetViews>
  <sheetFormatPr defaultRowHeight="15" x14ac:dyDescent="0.25"/>
  <cols>
    <col min="1" max="1" width="3.7109375" customWidth="1"/>
    <col min="2" max="2" width="14.5703125" style="35" customWidth="1"/>
    <col min="3" max="3" width="50.5703125" customWidth="1"/>
    <col min="4" max="4" width="16.140625" style="35" bestFit="1" customWidth="1"/>
    <col min="5" max="5" width="12.7109375" style="431" customWidth="1"/>
    <col min="6" max="6" width="3.7109375" style="431" customWidth="1"/>
    <col min="7" max="7" width="12.7109375" style="431" customWidth="1"/>
    <col min="8" max="8" width="3.7109375" style="431" customWidth="1"/>
    <col min="9" max="9" width="12.7109375" style="431" customWidth="1"/>
    <col min="10" max="10" width="3.7109375" style="431" customWidth="1"/>
    <col min="11" max="81" width="3.7109375" customWidth="1"/>
  </cols>
  <sheetData>
    <row r="2" spans="2:10" ht="36" x14ac:dyDescent="0.55000000000000004">
      <c r="B2" s="788" t="s">
        <v>1098</v>
      </c>
      <c r="C2" s="788"/>
      <c r="D2" s="788"/>
      <c r="E2" s="788"/>
      <c r="F2" s="788"/>
      <c r="G2" s="788"/>
      <c r="H2" s="788"/>
      <c r="I2" s="788"/>
      <c r="J2" s="788"/>
    </row>
    <row r="3" spans="2:10" ht="24.75" customHeight="1" x14ac:dyDescent="0.25">
      <c r="B3" s="792" t="s">
        <v>375</v>
      </c>
      <c r="C3" s="792"/>
      <c r="D3" s="792"/>
      <c r="E3" s="792"/>
      <c r="F3" s="792"/>
      <c r="G3" s="792"/>
      <c r="H3" s="792"/>
      <c r="I3" s="792"/>
      <c r="J3" s="792"/>
    </row>
    <row r="4" spans="2:10" s="35" customFormat="1" x14ac:dyDescent="0.25"/>
    <row r="5" spans="2:10" s="35" customFormat="1" x14ac:dyDescent="0.25"/>
    <row r="6" spans="2:10" s="35" customFormat="1" x14ac:dyDescent="0.25"/>
    <row r="7" spans="2:10" s="35" customFormat="1" x14ac:dyDescent="0.25"/>
    <row r="8" spans="2:10" s="35" customFormat="1" x14ac:dyDescent="0.25"/>
    <row r="9" spans="2:10" s="35" customFormat="1" x14ac:dyDescent="0.25"/>
    <row r="10" spans="2:10" s="35" customFormat="1" ht="36.75" thickBot="1" x14ac:dyDescent="0.6">
      <c r="B10" s="794" t="s">
        <v>1095</v>
      </c>
      <c r="C10" s="794"/>
      <c r="D10" s="794"/>
      <c r="E10" s="794"/>
      <c r="F10" s="794"/>
      <c r="G10" s="794"/>
      <c r="H10" s="794"/>
      <c r="I10" s="794"/>
      <c r="J10" s="794"/>
    </row>
    <row r="11" spans="2:10" s="35" customFormat="1" ht="32.25" thickTop="1" x14ac:dyDescent="0.5">
      <c r="B11" s="793" t="s">
        <v>1106</v>
      </c>
      <c r="C11" s="793"/>
      <c r="D11" s="793"/>
      <c r="E11" s="793"/>
      <c r="F11" s="793"/>
      <c r="G11" s="793"/>
      <c r="H11" s="793"/>
      <c r="I11" s="793"/>
      <c r="J11" s="793"/>
    </row>
    <row r="12" spans="2:10" s="35" customFormat="1" ht="25.5" customHeight="1" x14ac:dyDescent="0.55000000000000004">
      <c r="B12" s="507"/>
      <c r="C12" s="507"/>
      <c r="D12" s="507"/>
      <c r="E12" s="507"/>
      <c r="F12" s="507"/>
      <c r="G12" s="507"/>
      <c r="H12" s="507"/>
      <c r="I12" s="507"/>
      <c r="J12" s="507"/>
    </row>
    <row r="13" spans="2:10" s="35" customFormat="1" ht="15" customHeight="1" x14ac:dyDescent="0.25">
      <c r="B13" s="807" t="e">
        <f>ErrorWarning</f>
        <v>#N/A</v>
      </c>
      <c r="C13" s="807"/>
      <c r="D13" s="807"/>
      <c r="E13" s="807"/>
      <c r="F13" s="807"/>
      <c r="G13" s="807"/>
      <c r="H13" s="807"/>
      <c r="I13" s="807"/>
      <c r="J13" s="807"/>
    </row>
    <row r="14" spans="2:10" s="35" customFormat="1" ht="24.75" customHeight="1" x14ac:dyDescent="0.25">
      <c r="B14" s="807"/>
      <c r="C14" s="807"/>
      <c r="D14" s="807"/>
      <c r="E14" s="807"/>
      <c r="F14" s="807"/>
      <c r="G14" s="807"/>
      <c r="H14" s="807"/>
      <c r="I14" s="807"/>
      <c r="J14" s="807"/>
    </row>
    <row r="15" spans="2:10" s="35" customFormat="1" x14ac:dyDescent="0.25">
      <c r="C15" s="452" t="s">
        <v>1083</v>
      </c>
      <c r="D15" s="450" t="s">
        <v>1190</v>
      </c>
      <c r="E15" s="431"/>
      <c r="F15" s="431"/>
      <c r="G15" s="431"/>
      <c r="H15" s="431"/>
      <c r="I15" s="431"/>
      <c r="J15" s="431"/>
    </row>
    <row r="16" spans="2:10" s="35" customFormat="1" x14ac:dyDescent="0.25">
      <c r="C16" s="452" t="s">
        <v>1161</v>
      </c>
      <c r="D16" s="451" t="s">
        <v>1084</v>
      </c>
      <c r="E16" s="431"/>
      <c r="F16" s="431"/>
      <c r="G16" s="431"/>
      <c r="H16" s="431"/>
      <c r="I16" s="431"/>
      <c r="J16" s="431"/>
    </row>
    <row r="17" spans="2:14" s="35" customFormat="1" x14ac:dyDescent="0.25">
      <c r="C17" s="452"/>
      <c r="D17" s="451"/>
      <c r="E17" s="472"/>
      <c r="F17" s="472"/>
      <c r="G17" s="472"/>
      <c r="H17" s="472"/>
      <c r="I17" s="563"/>
      <c r="J17" s="591" t="str">
        <f>CONCATENATE("Worksheet ",Instructions!D10)</f>
        <v>Worksheet 2.10.1</v>
      </c>
    </row>
    <row r="18" spans="2:14" x14ac:dyDescent="0.25">
      <c r="B18" s="427" t="s">
        <v>1072</v>
      </c>
      <c r="C18" s="433" t="s">
        <v>514</v>
      </c>
      <c r="D18" s="426" t="s">
        <v>614</v>
      </c>
      <c r="E18" s="789" t="str">
        <f>FirstDirection</f>
        <v>Direction 1</v>
      </c>
      <c r="F18" s="790"/>
      <c r="G18" s="789" t="str">
        <f>SecondDirection</f>
        <v>Direction 2</v>
      </c>
      <c r="H18" s="790"/>
      <c r="I18" s="789" t="s">
        <v>239</v>
      </c>
      <c r="J18" s="790"/>
    </row>
    <row r="19" spans="2:14" ht="15" customHeight="1" x14ac:dyDescent="0.25">
      <c r="B19" s="781" t="s">
        <v>1058</v>
      </c>
      <c r="C19" s="432" t="s">
        <v>1199</v>
      </c>
      <c r="D19" s="438" t="s">
        <v>1073</v>
      </c>
      <c r="E19" s="795" t="str">
        <f>ProjectName</f>
        <v>Roadway Project</v>
      </c>
      <c r="F19" s="795"/>
      <c r="G19" s="795"/>
      <c r="H19" s="795"/>
      <c r="I19" s="795"/>
      <c r="J19" s="795"/>
    </row>
    <row r="20" spans="2:14" s="568" customFormat="1" ht="15" customHeight="1" x14ac:dyDescent="0.25">
      <c r="B20" s="782"/>
      <c r="C20" s="432" t="s">
        <v>1200</v>
      </c>
      <c r="D20" s="438" t="s">
        <v>1073</v>
      </c>
      <c r="E20" s="795" t="str">
        <f>ScenarioDescription</f>
        <v>RULD Calculation</v>
      </c>
      <c r="F20" s="795"/>
      <c r="G20" s="795"/>
      <c r="H20" s="795"/>
      <c r="I20" s="795"/>
      <c r="J20" s="795"/>
    </row>
    <row r="21" spans="2:14" s="568" customFormat="1" ht="15" customHeight="1" x14ac:dyDescent="0.25">
      <c r="B21" s="782"/>
      <c r="C21" s="432" t="s">
        <v>0</v>
      </c>
      <c r="D21" s="438" t="s">
        <v>1073</v>
      </c>
      <c r="E21" s="795" t="str">
        <f>District</f>
        <v>(choose a district)</v>
      </c>
      <c r="F21" s="795"/>
      <c r="G21" s="795"/>
      <c r="H21" s="795"/>
      <c r="I21" s="795"/>
      <c r="J21" s="795"/>
    </row>
    <row r="22" spans="2:14" x14ac:dyDescent="0.25">
      <c r="B22" s="782"/>
      <c r="C22" s="432" t="s">
        <v>1</v>
      </c>
      <c r="D22" s="438" t="s">
        <v>1073</v>
      </c>
      <c r="E22" s="795" t="str">
        <f>County</f>
        <v>(choose a county)</v>
      </c>
      <c r="F22" s="795"/>
      <c r="G22" s="795"/>
      <c r="H22" s="795"/>
      <c r="I22" s="795"/>
      <c r="J22" s="795"/>
    </row>
    <row r="23" spans="2:14" x14ac:dyDescent="0.25">
      <c r="B23" s="782"/>
      <c r="C23" s="432" t="s">
        <v>2</v>
      </c>
      <c r="D23" s="438" t="s">
        <v>1073</v>
      </c>
      <c r="E23" s="795" t="str">
        <f>IF(ISBLANK(Route),"n/a",Route)</f>
        <v>n/a</v>
      </c>
      <c r="F23" s="795"/>
      <c r="G23" s="795"/>
      <c r="H23" s="795"/>
      <c r="I23" s="795"/>
      <c r="J23" s="795"/>
    </row>
    <row r="24" spans="2:14" x14ac:dyDescent="0.25">
      <c r="B24" s="782"/>
      <c r="C24" s="432" t="s">
        <v>3</v>
      </c>
      <c r="D24" s="438" t="s">
        <v>1073</v>
      </c>
      <c r="E24" s="795" t="str">
        <f>IF(ISBLANK(Section),"n/a",Section)</f>
        <v>n/a</v>
      </c>
      <c r="F24" s="795"/>
      <c r="G24" s="795"/>
      <c r="H24" s="795"/>
      <c r="I24" s="795"/>
      <c r="J24" s="795"/>
    </row>
    <row r="25" spans="2:14" s="35" customFormat="1" x14ac:dyDescent="0.25">
      <c r="B25" s="783"/>
      <c r="C25" s="432" t="s">
        <v>1109</v>
      </c>
      <c r="D25" s="438" t="s">
        <v>1073</v>
      </c>
      <c r="E25" s="784" t="str">
        <f>IF(ISBLANK(ContractAmount),"n/a",ContractAmount)</f>
        <v>n/a</v>
      </c>
      <c r="F25" s="784"/>
      <c r="G25" s="784"/>
      <c r="H25" s="784"/>
      <c r="I25" s="784"/>
      <c r="J25" s="784"/>
    </row>
    <row r="26" spans="2:14" x14ac:dyDescent="0.25">
      <c r="B26" s="791" t="s">
        <v>1059</v>
      </c>
      <c r="C26" s="433" t="s">
        <v>4</v>
      </c>
      <c r="D26" s="439" t="s">
        <v>1073</v>
      </c>
      <c r="E26" s="801">
        <f>BaseYear</f>
        <v>2019</v>
      </c>
      <c r="F26" s="802"/>
      <c r="G26" s="802"/>
      <c r="H26" s="802"/>
      <c r="I26" s="802"/>
      <c r="J26" s="448" t="s">
        <v>1080</v>
      </c>
    </row>
    <row r="27" spans="2:14" x14ac:dyDescent="0.25">
      <c r="B27" s="791"/>
      <c r="C27" s="433" t="s">
        <v>5</v>
      </c>
      <c r="D27" s="439" t="s">
        <v>1073</v>
      </c>
      <c r="E27" s="801">
        <f>ConstructionYear</f>
        <v>2019</v>
      </c>
      <c r="F27" s="802"/>
      <c r="G27" s="802"/>
      <c r="H27" s="802"/>
      <c r="I27" s="802"/>
      <c r="J27" s="448" t="str">
        <f>IF(ISBLANK(Input!I22),"d","U")</f>
        <v>d</v>
      </c>
      <c r="K27" s="35"/>
      <c r="L27" s="35"/>
      <c r="M27" s="35"/>
      <c r="N27" s="35"/>
    </row>
    <row r="28" spans="2:14" x14ac:dyDescent="0.25">
      <c r="B28" s="791"/>
      <c r="C28" s="433" t="s">
        <v>808</v>
      </c>
      <c r="D28" s="426" t="s">
        <v>356</v>
      </c>
      <c r="E28" s="803">
        <f>InflationYearly</f>
        <v>2.1000000000000001E-2</v>
      </c>
      <c r="F28" s="804"/>
      <c r="G28" s="804"/>
      <c r="H28" s="804"/>
      <c r="I28" s="804"/>
      <c r="J28" s="448" t="str">
        <f>IF(ISBLANK(Input!I23),"d","#")</f>
        <v>d</v>
      </c>
      <c r="K28" s="35"/>
      <c r="L28" s="35"/>
      <c r="M28" s="35"/>
      <c r="N28" s="35"/>
    </row>
    <row r="29" spans="2:14" ht="15" customHeight="1" x14ac:dyDescent="0.25">
      <c r="B29" s="791"/>
      <c r="C29" s="433" t="s">
        <v>809</v>
      </c>
      <c r="D29" s="426" t="s">
        <v>356</v>
      </c>
      <c r="E29" s="803">
        <f>InflationTotal</f>
        <v>0</v>
      </c>
      <c r="F29" s="804"/>
      <c r="G29" s="804"/>
      <c r="H29" s="804"/>
      <c r="I29" s="804"/>
      <c r="J29" s="448" t="str">
        <f>IF(ISBLANK(Input!I24),"c","#")</f>
        <v>c</v>
      </c>
      <c r="K29" s="35"/>
      <c r="L29" s="35"/>
      <c r="M29" s="35"/>
      <c r="N29" s="35"/>
    </row>
    <row r="30" spans="2:14" x14ac:dyDescent="0.25">
      <c r="B30" s="781" t="s">
        <v>1060</v>
      </c>
      <c r="C30" s="432" t="s">
        <v>1136</v>
      </c>
      <c r="D30" s="440" t="s">
        <v>1073</v>
      </c>
      <c r="E30" s="796" t="str">
        <f>Classification</f>
        <v>(choose a classification)</v>
      </c>
      <c r="F30" s="797"/>
      <c r="G30" s="797"/>
      <c r="H30" s="797"/>
      <c r="I30" s="797"/>
      <c r="J30" s="798"/>
      <c r="K30" s="35"/>
      <c r="L30" s="35"/>
      <c r="M30" s="35"/>
      <c r="N30" s="35"/>
    </row>
    <row r="31" spans="2:14" x14ac:dyDescent="0.25">
      <c r="B31" s="782"/>
      <c r="C31" s="432" t="s">
        <v>804</v>
      </c>
      <c r="D31" s="440" t="s">
        <v>1073</v>
      </c>
      <c r="E31" s="796" t="e">
        <f>HCMType</f>
        <v>#N/A</v>
      </c>
      <c r="F31" s="797"/>
      <c r="G31" s="797"/>
      <c r="H31" s="797"/>
      <c r="I31" s="797"/>
      <c r="J31" s="446" t="str">
        <f>IF(ISBLANK(Input!I29),"d","#")</f>
        <v>d</v>
      </c>
      <c r="K31" s="35"/>
      <c r="L31" s="35"/>
      <c r="M31" s="35"/>
      <c r="N31" s="35"/>
    </row>
    <row r="32" spans="2:14" x14ac:dyDescent="0.25">
      <c r="B32" s="782"/>
      <c r="C32" s="432" t="s">
        <v>7</v>
      </c>
      <c r="D32" s="440" t="s">
        <v>1073</v>
      </c>
      <c r="E32" s="796" t="str">
        <f>Terrain</f>
        <v>Level</v>
      </c>
      <c r="F32" s="797"/>
      <c r="G32" s="797"/>
      <c r="H32" s="797"/>
      <c r="I32" s="797"/>
      <c r="J32" s="798"/>
      <c r="K32" s="35"/>
      <c r="L32" s="35"/>
      <c r="M32" s="35"/>
      <c r="N32" s="35"/>
    </row>
    <row r="33" spans="2:14" x14ac:dyDescent="0.25">
      <c r="B33" s="782"/>
      <c r="C33" s="433" t="s">
        <v>1029</v>
      </c>
      <c r="D33" s="439" t="s">
        <v>1073</v>
      </c>
      <c r="E33" s="801" t="str">
        <f>IF(ISBLANK(Input!M49),Month,"")</f>
        <v>(no factor)</v>
      </c>
      <c r="F33" s="802"/>
      <c r="G33" s="802"/>
      <c r="H33" s="802"/>
      <c r="I33" s="802"/>
      <c r="J33" s="448" t="str">
        <f>IF(E33="(none)","d","U")</f>
        <v>U</v>
      </c>
      <c r="K33" s="35"/>
      <c r="L33" s="35"/>
      <c r="M33" s="35"/>
      <c r="N33" s="35"/>
    </row>
    <row r="34" spans="2:14" x14ac:dyDescent="0.25">
      <c r="B34" s="782"/>
      <c r="C34" s="433" t="s">
        <v>500</v>
      </c>
      <c r="D34" s="439" t="s">
        <v>1073</v>
      </c>
      <c r="E34" s="799" t="e">
        <f>Monthly</f>
        <v>#N/A</v>
      </c>
      <c r="F34" s="800"/>
      <c r="G34" s="800"/>
      <c r="H34" s="800"/>
      <c r="I34" s="800"/>
      <c r="J34" s="448" t="str">
        <f>IF(ISBLANK(Input!M49),"d","#")</f>
        <v>d</v>
      </c>
      <c r="K34" s="35"/>
      <c r="L34" s="35"/>
      <c r="M34" s="35"/>
      <c r="N34" s="35"/>
    </row>
    <row r="35" spans="2:14" x14ac:dyDescent="0.25">
      <c r="B35" s="782"/>
      <c r="C35" s="432" t="s">
        <v>986</v>
      </c>
      <c r="D35" s="425" t="s">
        <v>357</v>
      </c>
      <c r="E35" s="434">
        <f>LanesEX1</f>
        <v>0</v>
      </c>
      <c r="F35" s="446" t="s">
        <v>1081</v>
      </c>
      <c r="G35" s="434">
        <f>LanesEX2</f>
        <v>0</v>
      </c>
      <c r="H35" s="446" t="s">
        <v>1081</v>
      </c>
      <c r="I35" s="434">
        <f>LanesEX</f>
        <v>0</v>
      </c>
      <c r="J35" s="446" t="s">
        <v>1082</v>
      </c>
      <c r="K35" s="35"/>
      <c r="L35" s="35"/>
      <c r="M35" s="35"/>
      <c r="N35" s="35"/>
    </row>
    <row r="36" spans="2:14" s="568" customFormat="1" x14ac:dyDescent="0.25">
      <c r="B36" s="782"/>
      <c r="C36" s="432" t="str">
        <f>IF(OR(Input!I35="Speed Limit",Input!M35="Speed Limit",Input!P35="Speed Limit"),"Existing Speed Limit","Existing Design Speed")</f>
        <v>Existing Design Speed</v>
      </c>
      <c r="D36" s="569" t="s">
        <v>170</v>
      </c>
      <c r="E36" s="570" t="e">
        <f>IF(AND(ISBLANK(Input!K35),ISBLANK(Input!O35)),BFFSex1,MAX(Input!K35,Input!O35))</f>
        <v>#N/A</v>
      </c>
      <c r="F36" s="446" t="str">
        <f>IF(AND(ISBLANK(Input!K35),ISBLANK(Input!O35)),"d","U")</f>
        <v>d</v>
      </c>
      <c r="G36" s="570" t="e">
        <f>IF(AND(ISBLANK(Input!K35),ISBLANK(Input!R35)),BFFSex2,MAX(Input!K35,Input!R35))</f>
        <v>#N/A</v>
      </c>
      <c r="H36" s="446" t="str">
        <f>IF(AND(ISBLANK(Input!K35),ISBLANK(Input!R35)),"d","U")</f>
        <v>d</v>
      </c>
      <c r="I36" s="441" t="s">
        <v>1073</v>
      </c>
      <c r="J36" s="447"/>
    </row>
    <row r="37" spans="2:14" x14ac:dyDescent="0.25">
      <c r="B37" s="782"/>
      <c r="C37" s="432" t="s">
        <v>394</v>
      </c>
      <c r="D37" s="425" t="s">
        <v>170</v>
      </c>
      <c r="E37" s="434" t="e">
        <f>exFFS1</f>
        <v>#N/A</v>
      </c>
      <c r="F37" s="446" t="str">
        <f>IF(AND(ISBLANK(Input!M42),ISBLANK(Input!I42)),"c","#")</f>
        <v>c</v>
      </c>
      <c r="G37" s="434" t="e">
        <f>exFFS2</f>
        <v>#N/A</v>
      </c>
      <c r="H37" s="446" t="str">
        <f>IF(AND(ISBLANK(Input!P42),ISBLANK(Input!I42)),"c","#")</f>
        <v>c</v>
      </c>
      <c r="I37" s="441" t="s">
        <v>1073</v>
      </c>
      <c r="J37" s="447"/>
      <c r="K37" s="35"/>
      <c r="L37" s="35"/>
      <c r="M37" s="35"/>
      <c r="N37" s="35"/>
    </row>
    <row r="38" spans="2:14" x14ac:dyDescent="0.25">
      <c r="B38" s="782"/>
      <c r="C38" s="432" t="s">
        <v>987</v>
      </c>
      <c r="D38" s="425" t="s">
        <v>885</v>
      </c>
      <c r="E38" s="443" t="e">
        <f>WidthEX1</f>
        <v>#N/A</v>
      </c>
      <c r="F38" s="446" t="str">
        <f>IF(AND(ISBLANK(Input!I36),ISBLANK(Input!M36)),"d","U")</f>
        <v>d</v>
      </c>
      <c r="G38" s="443" t="e">
        <f>WidthEX2</f>
        <v>#N/A</v>
      </c>
      <c r="H38" s="446" t="str">
        <f>IF(AND(ISBLANK(Input!I36),ISBLANK(Input!P36)),"d","U")</f>
        <v>d</v>
      </c>
      <c r="I38" s="441" t="s">
        <v>1073</v>
      </c>
      <c r="J38" s="447"/>
      <c r="K38" s="35"/>
      <c r="L38" s="35"/>
      <c r="M38" s="35"/>
      <c r="N38" s="35"/>
    </row>
    <row r="39" spans="2:14" x14ac:dyDescent="0.25">
      <c r="B39" s="782"/>
      <c r="C39" s="432" t="s">
        <v>988</v>
      </c>
      <c r="D39" s="425" t="s">
        <v>885</v>
      </c>
      <c r="E39" s="434" t="e">
        <f>RSLCex1</f>
        <v>#N/A</v>
      </c>
      <c r="F39" s="446" t="str">
        <f>IF(AND(ISBLANK(Input!I37),ISBLANK(Input!M37)),"d","U")</f>
        <v>d</v>
      </c>
      <c r="G39" s="434" t="e">
        <f>RSLCex2</f>
        <v>#N/A</v>
      </c>
      <c r="H39" s="446" t="str">
        <f>IF(AND(ISBLANK(Input!I37),ISBLANK(Input!P37)),"d","U")</f>
        <v>d</v>
      </c>
      <c r="I39" s="441" t="s">
        <v>1073</v>
      </c>
      <c r="J39" s="447"/>
      <c r="K39" s="35"/>
      <c r="L39" s="35"/>
      <c r="M39" s="35"/>
      <c r="N39" s="35"/>
    </row>
    <row r="40" spans="2:14" x14ac:dyDescent="0.25">
      <c r="B40" s="782"/>
      <c r="C40" s="432" t="s">
        <v>989</v>
      </c>
      <c r="D40" s="425" t="s">
        <v>885</v>
      </c>
      <c r="E40" s="434" t="e">
        <f>LSLCex1</f>
        <v>#N/A</v>
      </c>
      <c r="F40" s="446" t="str">
        <f>IF(AND(ISBLANK(Input!I38),ISBLANK(Input!M38)),"d","U")</f>
        <v>d</v>
      </c>
      <c r="G40" s="434" t="e">
        <f>LSLCex2</f>
        <v>#N/A</v>
      </c>
      <c r="H40" s="446" t="str">
        <f>IF(AND(ISBLANK(Input!I38),ISBLANK(Input!P38)),"d","U")</f>
        <v>d</v>
      </c>
      <c r="I40" s="441" t="s">
        <v>1073</v>
      </c>
      <c r="J40" s="447"/>
      <c r="K40" s="35"/>
      <c r="L40" s="35"/>
      <c r="M40" s="35"/>
      <c r="N40" s="35"/>
    </row>
    <row r="41" spans="2:14" x14ac:dyDescent="0.25">
      <c r="B41" s="782"/>
      <c r="C41" s="432" t="s">
        <v>1162</v>
      </c>
      <c r="D41" s="440" t="s">
        <v>1073</v>
      </c>
      <c r="E41" s="441" t="s">
        <v>1073</v>
      </c>
      <c r="F41" s="447"/>
      <c r="G41" s="441" t="s">
        <v>1073</v>
      </c>
      <c r="H41" s="447"/>
      <c r="I41" s="434" t="e">
        <f>MedianType</f>
        <v>#N/A</v>
      </c>
      <c r="J41" s="446" t="str">
        <f>IF(ISBLANK(Input!I39),"d","U")</f>
        <v>d</v>
      </c>
      <c r="K41" s="35"/>
      <c r="L41" s="35"/>
      <c r="M41" s="35"/>
      <c r="N41" s="35"/>
    </row>
    <row r="42" spans="2:14" x14ac:dyDescent="0.25">
      <c r="B42" s="782"/>
      <c r="C42" s="432" t="s">
        <v>990</v>
      </c>
      <c r="D42" s="425" t="s">
        <v>358</v>
      </c>
      <c r="E42" s="443" t="e">
        <f>TRDentry1</f>
        <v>#N/A</v>
      </c>
      <c r="F42" s="446" t="str">
        <f>IF(AND(ISBLANK(Input!I40),ISBLANK(Input!M40)),"d","U")</f>
        <v>d</v>
      </c>
      <c r="G42" s="443" t="e">
        <f>TRDentry2</f>
        <v>#N/A</v>
      </c>
      <c r="H42" s="446" t="str">
        <f>IF(AND(ISBLANK(Input!I40),ISBLANK(Input!P40)),"d","U")</f>
        <v>d</v>
      </c>
      <c r="I42" s="441" t="s">
        <v>1073</v>
      </c>
      <c r="J42" s="447"/>
      <c r="K42" s="35"/>
      <c r="L42" s="35"/>
      <c r="M42" s="35"/>
      <c r="N42" s="35"/>
    </row>
    <row r="43" spans="2:14" x14ac:dyDescent="0.25">
      <c r="B43" s="782"/>
      <c r="C43" s="432" t="s">
        <v>1074</v>
      </c>
      <c r="D43" s="436" t="s">
        <v>1075</v>
      </c>
      <c r="E43" s="443" t="e">
        <f>APDentry1</f>
        <v>#N/A</v>
      </c>
      <c r="F43" s="446" t="str">
        <f>IF(AND(ISBLANK(Input!I41),ISBLANK(Input!M41)),"d","U")</f>
        <v>d</v>
      </c>
      <c r="G43" s="443" t="e">
        <f>APDentry2</f>
        <v>#N/A</v>
      </c>
      <c r="H43" s="446" t="str">
        <f>IF(AND(ISBLANK(Input!I41),ISBLANK(Input!P41)),"d","U")</f>
        <v>d</v>
      </c>
      <c r="I43" s="441" t="s">
        <v>1073</v>
      </c>
      <c r="J43" s="447"/>
      <c r="K43" s="35"/>
      <c r="L43" s="35"/>
      <c r="M43" s="35"/>
      <c r="N43" s="35"/>
    </row>
    <row r="44" spans="2:14" x14ac:dyDescent="0.25">
      <c r="B44" s="783"/>
      <c r="C44" s="432" t="s">
        <v>991</v>
      </c>
      <c r="D44" s="425" t="s">
        <v>883</v>
      </c>
      <c r="E44" s="513" t="e">
        <f>Capacity1</f>
        <v>#N/A</v>
      </c>
      <c r="F44" s="446" t="str">
        <f>IF(AND(ISBLANK(Input!I43),ISBLANK(Input!M43)),"c","#")</f>
        <v>c</v>
      </c>
      <c r="G44" s="513" t="e">
        <f>Capacity2</f>
        <v>#N/A</v>
      </c>
      <c r="H44" s="446" t="str">
        <f>IF(AND(ISBLANK(Input!I43),ISBLANK(Input!P43)),"c","#")</f>
        <v>c</v>
      </c>
      <c r="I44" s="513" t="e">
        <f>E44+G44</f>
        <v>#N/A</v>
      </c>
      <c r="J44" s="446" t="s">
        <v>1082</v>
      </c>
      <c r="K44" s="35"/>
      <c r="L44" s="35"/>
      <c r="M44" s="35"/>
      <c r="N44" s="35"/>
    </row>
    <row r="45" spans="2:14" x14ac:dyDescent="0.25">
      <c r="B45" s="791" t="s">
        <v>1061</v>
      </c>
      <c r="C45" s="433" t="s">
        <v>13</v>
      </c>
      <c r="D45" s="426" t="s">
        <v>884</v>
      </c>
      <c r="E45" s="514" t="e">
        <f>ADTex1</f>
        <v>#N/A</v>
      </c>
      <c r="F45" s="448" t="str">
        <f>IF(ISBLANK(Input!M47),"c","U")</f>
        <v>c</v>
      </c>
      <c r="G45" s="514" t="e">
        <f>ADTex2</f>
        <v>#N/A</v>
      </c>
      <c r="H45" s="448" t="str">
        <f>IF(ISBLANK(Input!P47),"c","U")</f>
        <v>c</v>
      </c>
      <c r="I45" s="514" t="e">
        <f>ADTexTOT</f>
        <v>#N/A</v>
      </c>
      <c r="J45" s="448" t="str">
        <f>IF(ISBLANK(Input!I47),"c","U")</f>
        <v>c</v>
      </c>
      <c r="K45" s="35"/>
      <c r="L45" s="35"/>
      <c r="M45" s="35"/>
      <c r="N45" s="35"/>
    </row>
    <row r="46" spans="2:14" x14ac:dyDescent="0.25">
      <c r="B46" s="791"/>
      <c r="C46" s="433" t="s">
        <v>14</v>
      </c>
      <c r="D46" s="426" t="s">
        <v>356</v>
      </c>
      <c r="E46" s="490">
        <f>Split1</f>
        <v>1</v>
      </c>
      <c r="F46" s="448" t="str">
        <f>IF(ISBLANK(Input!I48),"d","U")</f>
        <v>d</v>
      </c>
      <c r="G46" s="490">
        <f>Split2</f>
        <v>0</v>
      </c>
      <c r="H46" s="448" t="str">
        <f>IF(ISBLANK(Input!I48),"d","U")</f>
        <v>d</v>
      </c>
      <c r="I46" s="442" t="s">
        <v>1073</v>
      </c>
      <c r="J46" s="449"/>
      <c r="K46" s="35"/>
      <c r="L46" s="35"/>
      <c r="M46" s="35"/>
      <c r="N46" s="35"/>
    </row>
    <row r="47" spans="2:14" x14ac:dyDescent="0.25">
      <c r="B47" s="791"/>
      <c r="C47" s="432" t="s">
        <v>15</v>
      </c>
      <c r="D47" s="425" t="s">
        <v>356</v>
      </c>
      <c r="E47" s="489" t="e">
        <f>pctADTTrk1</f>
        <v>#N/A</v>
      </c>
      <c r="F47" s="446" t="str">
        <f>IF(AND(ISBLANK(Input!I51),ISBLANK(Input!M51)),"d","U")</f>
        <v>d</v>
      </c>
      <c r="G47" s="489" t="e">
        <f>pctADTTrk2</f>
        <v>#N/A</v>
      </c>
      <c r="H47" s="446" t="str">
        <f>IF(AND(ISBLANK(Input!I51),ISBLANK(Input!P51)),"d","U")</f>
        <v>d</v>
      </c>
      <c r="I47" s="441" t="s">
        <v>1073</v>
      </c>
      <c r="J47" s="447"/>
      <c r="K47" s="35"/>
      <c r="L47" s="35"/>
      <c r="M47" s="35"/>
      <c r="N47" s="35"/>
    </row>
    <row r="48" spans="2:14" x14ac:dyDescent="0.25">
      <c r="B48" s="791"/>
      <c r="C48" s="437" t="s">
        <v>1027</v>
      </c>
      <c r="D48" s="425" t="s">
        <v>1076</v>
      </c>
      <c r="E48" s="489" t="e">
        <f>RpctSU1</f>
        <v>#N/A</v>
      </c>
      <c r="F48" s="446" t="str">
        <f>IF(AND(ISBLANK(Input!I52),ISBLANK(Input!M52)),"d","#")</f>
        <v>d</v>
      </c>
      <c r="G48" s="489" t="e">
        <f>RpctSU2</f>
        <v>#N/A</v>
      </c>
      <c r="H48" s="446" t="str">
        <f>IF(AND(ISBLANK(Input!I52),ISBLANK(Input!P52)),"d","#")</f>
        <v>d</v>
      </c>
      <c r="I48" s="441" t="s">
        <v>1073</v>
      </c>
      <c r="J48" s="447"/>
      <c r="K48" s="35"/>
      <c r="L48" s="35"/>
      <c r="M48" s="35"/>
      <c r="N48" s="35"/>
    </row>
    <row r="49" spans="2:17" x14ac:dyDescent="0.25">
      <c r="B49" s="791"/>
      <c r="C49" s="437" t="s">
        <v>1028</v>
      </c>
      <c r="D49" s="425" t="s">
        <v>1076</v>
      </c>
      <c r="E49" s="489" t="e">
        <f>RpctCT1</f>
        <v>#N/A</v>
      </c>
      <c r="F49" s="446" t="str">
        <f>IF(AND(ISBLANK(Input!I52),ISBLANK(Input!M52)),"d","#")</f>
        <v>d</v>
      </c>
      <c r="G49" s="489" t="e">
        <f>RpctCT2</f>
        <v>#N/A</v>
      </c>
      <c r="H49" s="446" t="str">
        <f>IF(AND(ISBLANK(Input!I52),ISBLANK(Input!P52)),"d","#")</f>
        <v>d</v>
      </c>
      <c r="I49" s="441" t="s">
        <v>1073</v>
      </c>
      <c r="J49" s="447"/>
      <c r="K49" s="35"/>
      <c r="L49" s="35"/>
      <c r="M49" s="35"/>
      <c r="N49" s="35"/>
    </row>
    <row r="50" spans="2:17" x14ac:dyDescent="0.25">
      <c r="B50" s="791"/>
      <c r="C50" s="433" t="s">
        <v>396</v>
      </c>
      <c r="D50" s="426" t="s">
        <v>356</v>
      </c>
      <c r="E50" s="490" t="e">
        <f>pctADTPC1</f>
        <v>#N/A</v>
      </c>
      <c r="F50" s="448" t="s">
        <v>1082</v>
      </c>
      <c r="G50" s="490" t="e">
        <f>pctADTPC2</f>
        <v>#N/A</v>
      </c>
      <c r="H50" s="448" t="s">
        <v>1082</v>
      </c>
      <c r="I50" s="442" t="s">
        <v>1073</v>
      </c>
      <c r="J50" s="449"/>
      <c r="K50" s="35"/>
      <c r="L50" s="35"/>
      <c r="M50" s="35"/>
      <c r="N50" s="35"/>
    </row>
    <row r="51" spans="2:17" x14ac:dyDescent="0.25">
      <c r="B51" s="791"/>
      <c r="C51" s="433" t="s">
        <v>1025</v>
      </c>
      <c r="D51" s="426" t="s">
        <v>356</v>
      </c>
      <c r="E51" s="490" t="e">
        <f>pctADTSU1</f>
        <v>#N/A</v>
      </c>
      <c r="F51" s="448" t="str">
        <f>F48</f>
        <v>d</v>
      </c>
      <c r="G51" s="490" t="e">
        <f>pctADTSU2</f>
        <v>#N/A</v>
      </c>
      <c r="H51" s="448" t="str">
        <f>H48</f>
        <v>d</v>
      </c>
      <c r="I51" s="442" t="s">
        <v>1073</v>
      </c>
      <c r="J51" s="449"/>
      <c r="K51" s="35"/>
      <c r="L51" s="35"/>
      <c r="M51" s="35"/>
      <c r="N51" s="35"/>
    </row>
    <row r="52" spans="2:17" x14ac:dyDescent="0.25">
      <c r="B52" s="791"/>
      <c r="C52" s="433" t="s">
        <v>1026</v>
      </c>
      <c r="D52" s="426" t="s">
        <v>356</v>
      </c>
      <c r="E52" s="490" t="e">
        <f>pctADTCT1</f>
        <v>#N/A</v>
      </c>
      <c r="F52" s="448" t="str">
        <f>F49</f>
        <v>d</v>
      </c>
      <c r="G52" s="490" t="e">
        <f>pctADTCT2</f>
        <v>#N/A</v>
      </c>
      <c r="H52" s="448" t="str">
        <f>H49</f>
        <v>d</v>
      </c>
      <c r="I52" s="442" t="s">
        <v>1073</v>
      </c>
      <c r="J52" s="449"/>
      <c r="K52" s="35"/>
      <c r="L52" s="35"/>
      <c r="M52" s="35"/>
      <c r="N52" s="35"/>
    </row>
    <row r="53" spans="2:17" ht="15" customHeight="1" x14ac:dyDescent="0.25">
      <c r="B53" s="791"/>
      <c r="C53" s="433" t="s">
        <v>18</v>
      </c>
      <c r="D53" s="426" t="s">
        <v>356</v>
      </c>
      <c r="E53" s="490">
        <f>pctADTRV1</f>
        <v>0</v>
      </c>
      <c r="F53" s="448" t="str">
        <f>IF(AND(ISBLANK(Input!I54),ISBLANK(Input!M54)),"d","U")</f>
        <v>d</v>
      </c>
      <c r="G53" s="490">
        <f>pctADTRV2</f>
        <v>0</v>
      </c>
      <c r="H53" s="448" t="str">
        <f>IF(AND(ISBLANK(Input!I54),ISBLANK(Input!P54)),"d","U")</f>
        <v>d</v>
      </c>
      <c r="I53" s="442" t="s">
        <v>1073</v>
      </c>
      <c r="J53" s="449"/>
      <c r="K53" s="35"/>
      <c r="L53" s="35"/>
      <c r="M53" s="35"/>
      <c r="N53" s="35"/>
      <c r="Q53" s="568"/>
    </row>
    <row r="54" spans="2:17" x14ac:dyDescent="0.25">
      <c r="B54" s="781" t="s">
        <v>1062</v>
      </c>
      <c r="C54" s="432" t="s">
        <v>992</v>
      </c>
      <c r="D54" s="586" t="s">
        <v>537</v>
      </c>
      <c r="E54" s="445">
        <f>Length1</f>
        <v>0</v>
      </c>
      <c r="F54" s="446" t="s">
        <v>1081</v>
      </c>
      <c r="G54" s="445">
        <f>Length2</f>
        <v>0</v>
      </c>
      <c r="H54" s="446" t="s">
        <v>1081</v>
      </c>
      <c r="I54" s="441" t="s">
        <v>1073</v>
      </c>
      <c r="J54" s="447"/>
      <c r="K54" s="35"/>
      <c r="L54" s="35"/>
      <c r="M54" s="35"/>
      <c r="N54" s="35"/>
      <c r="Q54" s="568"/>
    </row>
    <row r="55" spans="2:17" x14ac:dyDescent="0.25">
      <c r="B55" s="782"/>
      <c r="C55" s="432" t="s">
        <v>1244</v>
      </c>
      <c r="D55" s="586" t="s">
        <v>170</v>
      </c>
      <c r="E55" s="587">
        <f>wzBFFS1</f>
        <v>0</v>
      </c>
      <c r="F55" s="446" t="s">
        <v>1081</v>
      </c>
      <c r="G55" s="587">
        <f>wzBFFS2</f>
        <v>0</v>
      </c>
      <c r="H55" s="446" t="s">
        <v>1081</v>
      </c>
      <c r="I55" s="441" t="s">
        <v>1073</v>
      </c>
      <c r="J55" s="447"/>
      <c r="K55" s="35"/>
      <c r="L55" s="35"/>
      <c r="M55" s="35"/>
      <c r="N55" s="35"/>
      <c r="Q55" s="568"/>
    </row>
    <row r="56" spans="2:17" x14ac:dyDescent="0.25">
      <c r="B56" s="782"/>
      <c r="C56" s="432" t="s">
        <v>993</v>
      </c>
      <c r="D56" s="586" t="s">
        <v>357</v>
      </c>
      <c r="E56" s="587" t="e">
        <f>Input!X60</f>
        <v>#N/A</v>
      </c>
      <c r="F56" s="446" t="str">
        <f>IF(AND(ISBLANK(Input!I60),ISBLANK(Input!M60)),"d","U")</f>
        <v>d</v>
      </c>
      <c r="G56" s="587" t="e">
        <f>Input!AA60</f>
        <v>#N/A</v>
      </c>
      <c r="H56" s="446" t="str">
        <f>IF(AND(ISBLANK(Input!I60),ISBLANK(Input!P60)),"d","U")</f>
        <v>d</v>
      </c>
      <c r="I56" s="441" t="s">
        <v>1073</v>
      </c>
      <c r="J56" s="447"/>
      <c r="K56" s="35"/>
      <c r="L56" s="35"/>
      <c r="M56" s="35"/>
      <c r="N56" s="35"/>
      <c r="Q56" s="568"/>
    </row>
    <row r="57" spans="2:17" x14ac:dyDescent="0.25">
      <c r="B57" s="782"/>
      <c r="C57" s="432" t="s">
        <v>994</v>
      </c>
      <c r="D57" s="586" t="s">
        <v>885</v>
      </c>
      <c r="E57" s="443" t="e">
        <f>WidthWZ1</f>
        <v>#N/A</v>
      </c>
      <c r="F57" s="446" t="str">
        <f>IF(AND(ISBLANK(Input!I61),ISBLANK(Input!M61)),"d","U")</f>
        <v>d</v>
      </c>
      <c r="G57" s="443" t="e">
        <f>WidthWZ2</f>
        <v>#N/A</v>
      </c>
      <c r="H57" s="446" t="str">
        <f>IF(AND(ISBLANK(Input!I61),ISBLANK(Input!P61)),"d","U")</f>
        <v>d</v>
      </c>
      <c r="I57" s="441" t="s">
        <v>1073</v>
      </c>
      <c r="J57" s="447"/>
      <c r="K57" s="35"/>
      <c r="L57" s="35"/>
      <c r="M57" s="35"/>
      <c r="N57" s="35"/>
      <c r="Q57" s="568"/>
    </row>
    <row r="58" spans="2:17" s="568" customFormat="1" x14ac:dyDescent="0.25">
      <c r="B58" s="782"/>
      <c r="C58" s="432" t="s">
        <v>1241</v>
      </c>
      <c r="D58" s="586" t="s">
        <v>885</v>
      </c>
      <c r="E58" s="443" t="e">
        <f>RSLCwz1</f>
        <v>#N/A</v>
      </c>
      <c r="F58" s="446" t="str">
        <f>IF(AND(ISBLANK(Input!I62),ISBLANK(Input!M62)),"d","U")</f>
        <v>d</v>
      </c>
      <c r="G58" s="443" t="e">
        <f>RSLCwz2</f>
        <v>#N/A</v>
      </c>
      <c r="H58" s="446" t="str">
        <f>IF(AND(ISBLANK(Input!I62),ISBLANK(Input!P62)),"d","U")</f>
        <v>d</v>
      </c>
      <c r="I58" s="441" t="s">
        <v>1073</v>
      </c>
      <c r="J58" s="447"/>
    </row>
    <row r="59" spans="2:17" s="568" customFormat="1" x14ac:dyDescent="0.25">
      <c r="B59" s="782"/>
      <c r="C59" s="432" t="s">
        <v>1242</v>
      </c>
      <c r="D59" s="586" t="s">
        <v>885</v>
      </c>
      <c r="E59" s="443" t="e">
        <f>LSLCwz1</f>
        <v>#N/A</v>
      </c>
      <c r="F59" s="446" t="str">
        <f>IF(AND(ISBLANK(Input!I63),ISBLANK(Input!M63)),"d","U")</f>
        <v>d</v>
      </c>
      <c r="G59" s="443" t="e">
        <f>LSLCwz2</f>
        <v>#N/A</v>
      </c>
      <c r="H59" s="446" t="str">
        <f>IF(AND(ISBLANK(Input!I63),ISBLANK(Input!P63)),"d","U")</f>
        <v>d</v>
      </c>
      <c r="I59" s="441" t="s">
        <v>1073</v>
      </c>
      <c r="J59" s="447"/>
    </row>
    <row r="60" spans="2:17" s="568" customFormat="1" x14ac:dyDescent="0.25">
      <c r="B60" s="782"/>
      <c r="C60" s="432" t="s">
        <v>1243</v>
      </c>
      <c r="D60" s="440" t="s">
        <v>1073</v>
      </c>
      <c r="E60" s="443" t="str">
        <f>Intensity1</f>
        <v>LOW</v>
      </c>
      <c r="F60" s="446" t="str">
        <f>IF(AND(ISBLANK(Input!I64),ISBLANK(Input!M64)),"d","U")</f>
        <v>d</v>
      </c>
      <c r="G60" s="443" t="str">
        <f>Intensity2</f>
        <v>LOW</v>
      </c>
      <c r="H60" s="446" t="str">
        <f>IF(AND(ISBLANK(Input!I64),ISBLANK(Input!P64)),"d","U")</f>
        <v>d</v>
      </c>
      <c r="I60" s="441" t="s">
        <v>1073</v>
      </c>
      <c r="J60" s="447"/>
    </row>
    <row r="61" spans="2:17" x14ac:dyDescent="0.25">
      <c r="B61" s="782"/>
      <c r="C61" s="432" t="s">
        <v>995</v>
      </c>
      <c r="D61" s="440" t="s">
        <v>1073</v>
      </c>
      <c r="E61" s="547" t="str">
        <f>TimeStart1</f>
        <v>All Day</v>
      </c>
      <c r="F61" s="446" t="str">
        <f>IF(AND(ISBLANK(Input!I65),ISBLANK(Input!M65)),"d","U")</f>
        <v>d</v>
      </c>
      <c r="G61" s="547" t="str">
        <f>TimeStart2</f>
        <v>All Day</v>
      </c>
      <c r="H61" s="446" t="str">
        <f>IF(AND(ISBLANK(Input!I65),ISBLANK(Input!P65)),"d","U")</f>
        <v>d</v>
      </c>
      <c r="I61" s="441" t="s">
        <v>1073</v>
      </c>
      <c r="J61" s="447"/>
      <c r="K61" s="35"/>
      <c r="L61" s="35"/>
      <c r="M61" s="35"/>
      <c r="N61" s="35"/>
      <c r="Q61" s="568"/>
    </row>
    <row r="62" spans="2:17" x14ac:dyDescent="0.25">
      <c r="B62" s="782"/>
      <c r="C62" s="432" t="s">
        <v>996</v>
      </c>
      <c r="D62" s="440" t="s">
        <v>1073</v>
      </c>
      <c r="E62" s="547" t="str">
        <f>TimeEnd1</f>
        <v>All Day</v>
      </c>
      <c r="F62" s="446" t="str">
        <f>IF(AND(ISBLANK(Input!I66),ISBLANK(Input!M66)),"d","U")</f>
        <v>d</v>
      </c>
      <c r="G62" s="547" t="str">
        <f>TimeEnd2</f>
        <v>All Day</v>
      </c>
      <c r="H62" s="446" t="str">
        <f>IF(AND(ISBLANK(Input!I66),ISBLANK(Input!P66)),"d","U")</f>
        <v>d</v>
      </c>
      <c r="I62" s="441" t="s">
        <v>1073</v>
      </c>
      <c r="J62" s="447"/>
      <c r="K62" s="35"/>
      <c r="L62" s="35"/>
      <c r="M62" s="35"/>
      <c r="N62" s="35"/>
      <c r="Q62" s="568"/>
    </row>
    <row r="63" spans="2:17" x14ac:dyDescent="0.25">
      <c r="B63" s="782"/>
      <c r="C63" s="432" t="s">
        <v>1078</v>
      </c>
      <c r="D63" s="435" t="s">
        <v>538</v>
      </c>
      <c r="E63" s="587">
        <f>HoursWZ1</f>
        <v>24</v>
      </c>
      <c r="F63" s="446" t="s">
        <v>1082</v>
      </c>
      <c r="G63" s="587">
        <f>HoursWZ2</f>
        <v>24</v>
      </c>
      <c r="H63" s="446" t="s">
        <v>1082</v>
      </c>
      <c r="I63" s="441" t="s">
        <v>1073</v>
      </c>
      <c r="J63" s="447"/>
      <c r="K63" s="35"/>
      <c r="L63" s="35"/>
      <c r="M63" s="35"/>
      <c r="N63" s="35"/>
      <c r="Q63" s="568"/>
    </row>
    <row r="64" spans="2:17" x14ac:dyDescent="0.25">
      <c r="B64" s="782"/>
      <c r="C64" s="432" t="s">
        <v>997</v>
      </c>
      <c r="D64" s="586" t="s">
        <v>521</v>
      </c>
      <c r="E64" s="587">
        <f>Duration1</f>
        <v>1</v>
      </c>
      <c r="F64" s="446" t="str">
        <f>IF(AND(ISBLANK(Input!I67),ISBLANK(Input!M67)),"d","U")</f>
        <v>d</v>
      </c>
      <c r="G64" s="587">
        <f>Duration2</f>
        <v>1</v>
      </c>
      <c r="H64" s="446" t="str">
        <f>IF(AND(ISBLANK(Input!I67),ISBLANK(Input!P67)),"d","U")</f>
        <v>d</v>
      </c>
      <c r="I64" s="441" t="s">
        <v>1073</v>
      </c>
      <c r="J64" s="447"/>
      <c r="K64" s="35"/>
      <c r="L64" s="35"/>
      <c r="M64" s="35"/>
      <c r="N64" s="35"/>
      <c r="Q64" s="568"/>
    </row>
    <row r="65" spans="2:17" s="568" customFormat="1" x14ac:dyDescent="0.25">
      <c r="B65" s="782"/>
      <c r="C65" s="432" t="s">
        <v>585</v>
      </c>
      <c r="D65" s="586" t="s">
        <v>170</v>
      </c>
      <c r="E65" s="587" t="e">
        <f>wzFFS1</f>
        <v>#N/A</v>
      </c>
      <c r="F65" s="446" t="str">
        <f>IF(AND(ISBLANK(Input!I68),ISBLANK(Input!M68)),"d","U")</f>
        <v>d</v>
      </c>
      <c r="G65" s="587" t="e">
        <f>wzFFS2</f>
        <v>#N/A</v>
      </c>
      <c r="H65" s="446" t="str">
        <f>IF(AND(ISBLANK(Input!I68),ISBLANK(Input!P68)),"d","U")</f>
        <v>d</v>
      </c>
      <c r="I65" s="441" t="s">
        <v>1073</v>
      </c>
      <c r="J65" s="447"/>
    </row>
    <row r="66" spans="2:17" x14ac:dyDescent="0.25">
      <c r="B66" s="783"/>
      <c r="C66" s="432" t="s">
        <v>998</v>
      </c>
      <c r="D66" s="586" t="s">
        <v>1168</v>
      </c>
      <c r="E66" s="513" t="e">
        <f>WZCap1</f>
        <v>#N/A</v>
      </c>
      <c r="F66" s="446" t="str">
        <f>IF(AND(ISBLANK(Input!I69),ISBLANK(Input!M69)),"d","U")</f>
        <v>d</v>
      </c>
      <c r="G66" s="513" t="e">
        <f>WZCap2</f>
        <v>#N/A</v>
      </c>
      <c r="H66" s="446" t="str">
        <f>IF(AND(ISBLANK(Input!I69),ISBLANK(Input!P69)),"d","U")</f>
        <v>d</v>
      </c>
      <c r="I66" s="513" t="e">
        <f>E66+G66</f>
        <v>#N/A</v>
      </c>
      <c r="J66" s="446" t="s">
        <v>1082</v>
      </c>
      <c r="K66" s="35"/>
      <c r="L66" s="35"/>
      <c r="M66" s="35"/>
      <c r="N66" s="35"/>
      <c r="Q66" s="568"/>
    </row>
    <row r="67" spans="2:17" x14ac:dyDescent="0.25">
      <c r="B67" s="791" t="str">
        <f>CONCATENATE(FirstDetourName," Information")</f>
        <v>Primary Detour Information</v>
      </c>
      <c r="C67" s="433" t="str">
        <f>CONCATENATE(FirstDetourName," Length")</f>
        <v>Primary Detour Length</v>
      </c>
      <c r="D67" s="426" t="s">
        <v>537</v>
      </c>
      <c r="E67" s="461">
        <f>IF(D1length1="",0,D1length1)</f>
        <v>0</v>
      </c>
      <c r="F67" s="448" t="str">
        <f t="shared" ref="F67:F84" si="0">IF(E67&gt;0,"U","d")</f>
        <v>d</v>
      </c>
      <c r="G67" s="461">
        <f>IF(D1length2="",0,D1length2)</f>
        <v>0</v>
      </c>
      <c r="H67" s="448" t="str">
        <f t="shared" ref="H67:H84" si="1">IF(G67&gt;0,"U","d")</f>
        <v>d</v>
      </c>
      <c r="I67" s="442" t="s">
        <v>1073</v>
      </c>
      <c r="J67" s="449"/>
      <c r="K67" s="35"/>
      <c r="L67" s="35"/>
      <c r="M67" s="35"/>
      <c r="N67" s="35"/>
    </row>
    <row r="68" spans="2:17" s="35" customFormat="1" x14ac:dyDescent="0.25">
      <c r="B68" s="791"/>
      <c r="C68" s="433" t="str">
        <f>CONCATENATE(FirstDetourName," Delay")</f>
        <v>Primary Detour Delay</v>
      </c>
      <c r="D68" s="426" t="s">
        <v>539</v>
      </c>
      <c r="E68" s="444">
        <f>D1time1</f>
        <v>0</v>
      </c>
      <c r="F68" s="448" t="str">
        <f t="shared" si="0"/>
        <v>d</v>
      </c>
      <c r="G68" s="444">
        <f>D1time2</f>
        <v>0</v>
      </c>
      <c r="H68" s="448" t="str">
        <f t="shared" si="1"/>
        <v>d</v>
      </c>
      <c r="I68" s="442" t="s">
        <v>1073</v>
      </c>
      <c r="J68" s="449"/>
    </row>
    <row r="69" spans="2:17" x14ac:dyDescent="0.25">
      <c r="B69" s="791"/>
      <c r="C69" s="433" t="str">
        <f>CONCATENATE("Percent of Passenger Cars on ",FirstDetourName)</f>
        <v>Percent of Passenger Cars on Primary Detour</v>
      </c>
      <c r="D69" s="426" t="s">
        <v>356</v>
      </c>
      <c r="E69" s="506">
        <f>D1pc1</f>
        <v>0</v>
      </c>
      <c r="F69" s="448" t="str">
        <f t="shared" si="0"/>
        <v>d</v>
      </c>
      <c r="G69" s="506">
        <f>D1pc2</f>
        <v>0</v>
      </c>
      <c r="H69" s="448" t="str">
        <f t="shared" si="1"/>
        <v>d</v>
      </c>
      <c r="I69" s="442" t="s">
        <v>1073</v>
      </c>
      <c r="J69" s="449"/>
      <c r="K69" s="35"/>
      <c r="L69" s="35"/>
      <c r="M69" s="35"/>
      <c r="N69" s="35"/>
    </row>
    <row r="70" spans="2:17" x14ac:dyDescent="0.25">
      <c r="B70" s="791"/>
      <c r="C70" s="433" t="str">
        <f>CONCATENATE("Percent of Single-Unit Trucks on ",FirstDetourName)</f>
        <v>Percent of Single-Unit Trucks on Primary Detour</v>
      </c>
      <c r="D70" s="426" t="s">
        <v>356</v>
      </c>
      <c r="E70" s="506">
        <f>D1su1</f>
        <v>0</v>
      </c>
      <c r="F70" s="448" t="str">
        <f t="shared" si="0"/>
        <v>d</v>
      </c>
      <c r="G70" s="506">
        <f>D1su2</f>
        <v>0</v>
      </c>
      <c r="H70" s="448" t="str">
        <f t="shared" si="1"/>
        <v>d</v>
      </c>
      <c r="I70" s="442" t="s">
        <v>1073</v>
      </c>
      <c r="J70" s="449"/>
      <c r="K70" s="35"/>
      <c r="L70" s="35"/>
      <c r="M70" s="35"/>
      <c r="N70" s="35"/>
      <c r="Q70" s="568"/>
    </row>
    <row r="71" spans="2:17" x14ac:dyDescent="0.25">
      <c r="B71" s="791"/>
      <c r="C71" s="433" t="str">
        <f>CONCATENATE("Percent of Combination Trucks on ",FirstDetourName)</f>
        <v>Percent of Combination Trucks on Primary Detour</v>
      </c>
      <c r="D71" s="426" t="s">
        <v>356</v>
      </c>
      <c r="E71" s="506">
        <f>D1ct1</f>
        <v>0</v>
      </c>
      <c r="F71" s="448" t="str">
        <f t="shared" si="0"/>
        <v>d</v>
      </c>
      <c r="G71" s="506">
        <f>D1ct2</f>
        <v>0</v>
      </c>
      <c r="H71" s="448" t="str">
        <f t="shared" si="1"/>
        <v>d</v>
      </c>
      <c r="I71" s="442" t="s">
        <v>1073</v>
      </c>
      <c r="J71" s="449"/>
      <c r="K71" s="35"/>
      <c r="L71" s="35"/>
      <c r="M71" s="35"/>
      <c r="N71" s="35"/>
    </row>
    <row r="72" spans="2:17" x14ac:dyDescent="0.25">
      <c r="B72" s="791"/>
      <c r="C72" s="433" t="str">
        <f>CONCATENATE("Percent of Recreational Vehicles on ",FirstDetourName)</f>
        <v>Percent of Recreational Vehicles on Primary Detour</v>
      </c>
      <c r="D72" s="426" t="s">
        <v>356</v>
      </c>
      <c r="E72" s="506">
        <f>D1rv1</f>
        <v>0</v>
      </c>
      <c r="F72" s="448" t="str">
        <f t="shared" si="0"/>
        <v>d</v>
      </c>
      <c r="G72" s="506">
        <f>D1rv2</f>
        <v>0</v>
      </c>
      <c r="H72" s="448" t="str">
        <f t="shared" si="1"/>
        <v>d</v>
      </c>
      <c r="I72" s="442" t="s">
        <v>1073</v>
      </c>
      <c r="J72" s="449"/>
      <c r="K72" s="35"/>
      <c r="L72" s="35"/>
      <c r="M72" s="35"/>
      <c r="N72" s="35"/>
    </row>
    <row r="73" spans="2:17" x14ac:dyDescent="0.25">
      <c r="B73" s="805" t="str">
        <f>CONCATENATE(SecondDetourName," Information")</f>
        <v>Secondary Detour Information</v>
      </c>
      <c r="C73" s="432" t="str">
        <f>CONCATENATE(SecondDetourName," Length")</f>
        <v>Secondary Detour Length</v>
      </c>
      <c r="D73" s="425" t="s">
        <v>537</v>
      </c>
      <c r="E73" s="445">
        <f>IF(D2length1="",0,D2length1)</f>
        <v>0</v>
      </c>
      <c r="F73" s="446" t="str">
        <f t="shared" si="0"/>
        <v>d</v>
      </c>
      <c r="G73" s="445">
        <f>IF(D2length2="",0,D2length2)</f>
        <v>0</v>
      </c>
      <c r="H73" s="446" t="str">
        <f t="shared" si="1"/>
        <v>d</v>
      </c>
      <c r="I73" s="441" t="s">
        <v>1073</v>
      </c>
      <c r="J73" s="447"/>
      <c r="K73" s="35"/>
      <c r="L73" s="35"/>
      <c r="M73" s="35"/>
      <c r="N73" s="35"/>
    </row>
    <row r="74" spans="2:17" s="35" customFormat="1" x14ac:dyDescent="0.25">
      <c r="B74" s="805"/>
      <c r="C74" s="432" t="str">
        <f>CONCATENATE(SecondDetourName," Delay")</f>
        <v>Secondary Detour Delay</v>
      </c>
      <c r="D74" s="425" t="s">
        <v>539</v>
      </c>
      <c r="E74" s="443">
        <f>D2time1</f>
        <v>0</v>
      </c>
      <c r="F74" s="446" t="str">
        <f t="shared" si="0"/>
        <v>d</v>
      </c>
      <c r="G74" s="443">
        <f>D2time2</f>
        <v>0</v>
      </c>
      <c r="H74" s="446" t="str">
        <f t="shared" si="1"/>
        <v>d</v>
      </c>
      <c r="I74" s="441" t="s">
        <v>1073</v>
      </c>
      <c r="J74" s="447"/>
    </row>
    <row r="75" spans="2:17" s="35" customFormat="1" x14ac:dyDescent="0.25">
      <c r="B75" s="805"/>
      <c r="C75" s="432" t="str">
        <f>CONCATENATE("Percent of Passenger Cars on ",SecondDetourName)</f>
        <v>Percent of Passenger Cars on Secondary Detour</v>
      </c>
      <c r="D75" s="425" t="s">
        <v>356</v>
      </c>
      <c r="E75" s="512">
        <f>D2pc1</f>
        <v>0</v>
      </c>
      <c r="F75" s="446" t="str">
        <f t="shared" si="0"/>
        <v>d</v>
      </c>
      <c r="G75" s="512">
        <f>D2pc2</f>
        <v>0</v>
      </c>
      <c r="H75" s="446" t="str">
        <f t="shared" si="1"/>
        <v>d</v>
      </c>
      <c r="I75" s="441" t="s">
        <v>1073</v>
      </c>
      <c r="J75" s="447"/>
    </row>
    <row r="76" spans="2:17" s="35" customFormat="1" x14ac:dyDescent="0.25">
      <c r="B76" s="805"/>
      <c r="C76" s="432" t="str">
        <f>CONCATENATE("Percent of Single-Unit Trucks on ",SecondDetourName)</f>
        <v>Percent of Single-Unit Trucks on Secondary Detour</v>
      </c>
      <c r="D76" s="425" t="s">
        <v>356</v>
      </c>
      <c r="E76" s="512">
        <f>D2su1</f>
        <v>0</v>
      </c>
      <c r="F76" s="446" t="str">
        <f t="shared" si="0"/>
        <v>d</v>
      </c>
      <c r="G76" s="512">
        <f>D2su2</f>
        <v>0</v>
      </c>
      <c r="H76" s="446" t="str">
        <f t="shared" si="1"/>
        <v>d</v>
      </c>
      <c r="I76" s="441" t="s">
        <v>1073</v>
      </c>
      <c r="J76" s="447"/>
    </row>
    <row r="77" spans="2:17" x14ac:dyDescent="0.25">
      <c r="B77" s="805"/>
      <c r="C77" s="432" t="str">
        <f>CONCATENATE("Percent of Combination Trucks on ",SecondDetourName)</f>
        <v>Percent of Combination Trucks on Secondary Detour</v>
      </c>
      <c r="D77" s="425" t="s">
        <v>356</v>
      </c>
      <c r="E77" s="512">
        <f>D2ct1</f>
        <v>0</v>
      </c>
      <c r="F77" s="446" t="str">
        <f t="shared" si="0"/>
        <v>d</v>
      </c>
      <c r="G77" s="512">
        <f>D2ct2</f>
        <v>0</v>
      </c>
      <c r="H77" s="446" t="str">
        <f t="shared" si="1"/>
        <v>d</v>
      </c>
      <c r="I77" s="441" t="s">
        <v>1073</v>
      </c>
      <c r="J77" s="447"/>
      <c r="K77" s="35"/>
      <c r="L77" s="35"/>
      <c r="M77" s="35"/>
      <c r="N77" s="35"/>
    </row>
    <row r="78" spans="2:17" x14ac:dyDescent="0.25">
      <c r="B78" s="805"/>
      <c r="C78" s="432" t="str">
        <f>CONCATENATE("Percent of Recreational Vehicles on ",SecondDetourName)</f>
        <v>Percent of Recreational Vehicles on Secondary Detour</v>
      </c>
      <c r="D78" s="425" t="s">
        <v>356</v>
      </c>
      <c r="E78" s="512">
        <f>D2rv1</f>
        <v>0</v>
      </c>
      <c r="F78" s="446" t="str">
        <f t="shared" si="0"/>
        <v>d</v>
      </c>
      <c r="G78" s="512">
        <f>D2rv2</f>
        <v>0</v>
      </c>
      <c r="H78" s="446" t="str">
        <f t="shared" si="1"/>
        <v>d</v>
      </c>
      <c r="I78" s="441" t="s">
        <v>1073</v>
      </c>
      <c r="J78" s="447"/>
      <c r="K78" s="35"/>
      <c r="L78" s="35"/>
      <c r="M78" s="35"/>
      <c r="N78" s="35"/>
    </row>
    <row r="79" spans="2:17" x14ac:dyDescent="0.25">
      <c r="B79" s="791" t="str">
        <f>CONCATENATE(ThirdDetourName," Information")</f>
        <v>Tertiary Detour Information</v>
      </c>
      <c r="C79" s="433" t="str">
        <f>CONCATENATE(ThirdDetourName," Length")</f>
        <v>Tertiary Detour Length</v>
      </c>
      <c r="D79" s="426" t="s">
        <v>537</v>
      </c>
      <c r="E79" s="461">
        <f>IF(D3length1="",0,D3length1)</f>
        <v>0</v>
      </c>
      <c r="F79" s="448" t="str">
        <f t="shared" si="0"/>
        <v>d</v>
      </c>
      <c r="G79" s="461">
        <f>IF(D3length2="",0,D3length2)</f>
        <v>0</v>
      </c>
      <c r="H79" s="448" t="str">
        <f t="shared" si="1"/>
        <v>d</v>
      </c>
      <c r="I79" s="442" t="s">
        <v>1073</v>
      </c>
      <c r="J79" s="449"/>
      <c r="K79" s="35"/>
      <c r="L79" s="35"/>
      <c r="M79" s="35"/>
      <c r="N79" s="35"/>
    </row>
    <row r="80" spans="2:17" x14ac:dyDescent="0.25">
      <c r="B80" s="791"/>
      <c r="C80" s="433" t="str">
        <f>CONCATENATE(ThirdDetourName," Delay")</f>
        <v>Tertiary Detour Delay</v>
      </c>
      <c r="D80" s="426" t="s">
        <v>539</v>
      </c>
      <c r="E80" s="444">
        <f>D3time1</f>
        <v>0</v>
      </c>
      <c r="F80" s="448" t="str">
        <f t="shared" si="0"/>
        <v>d</v>
      </c>
      <c r="G80" s="444">
        <f>D3time2</f>
        <v>0</v>
      </c>
      <c r="H80" s="448" t="str">
        <f t="shared" si="1"/>
        <v>d</v>
      </c>
      <c r="I80" s="442" t="s">
        <v>1073</v>
      </c>
      <c r="J80" s="449"/>
      <c r="K80" s="35"/>
      <c r="L80" s="35"/>
      <c r="M80" s="35"/>
      <c r="N80" s="35"/>
    </row>
    <row r="81" spans="2:14" x14ac:dyDescent="0.25">
      <c r="B81" s="791"/>
      <c r="C81" s="433" t="str">
        <f>CONCATENATE("Percent of Passenger Cars on ",ThirdDetourName)</f>
        <v>Percent of Passenger Cars on Tertiary Detour</v>
      </c>
      <c r="D81" s="426" t="s">
        <v>356</v>
      </c>
      <c r="E81" s="506">
        <f>D3pc1</f>
        <v>0</v>
      </c>
      <c r="F81" s="448" t="str">
        <f t="shared" si="0"/>
        <v>d</v>
      </c>
      <c r="G81" s="506">
        <f>D3pc2</f>
        <v>0</v>
      </c>
      <c r="H81" s="448" t="str">
        <f t="shared" si="1"/>
        <v>d</v>
      </c>
      <c r="I81" s="442" t="s">
        <v>1073</v>
      </c>
      <c r="J81" s="449"/>
      <c r="K81" s="35"/>
      <c r="L81" s="35"/>
      <c r="M81" s="35"/>
      <c r="N81" s="35"/>
    </row>
    <row r="82" spans="2:14" s="35" customFormat="1" x14ac:dyDescent="0.25">
      <c r="B82" s="791"/>
      <c r="C82" s="433" t="str">
        <f>CONCATENATE("Percent of Single-Unit Trucks on ",ThirdDetourName)</f>
        <v>Percent of Single-Unit Trucks on Tertiary Detour</v>
      </c>
      <c r="D82" s="426" t="s">
        <v>356</v>
      </c>
      <c r="E82" s="506">
        <f>D3su1</f>
        <v>0</v>
      </c>
      <c r="F82" s="448" t="str">
        <f t="shared" si="0"/>
        <v>d</v>
      </c>
      <c r="G82" s="506">
        <f>D3su2</f>
        <v>0</v>
      </c>
      <c r="H82" s="448" t="str">
        <f t="shared" si="1"/>
        <v>d</v>
      </c>
      <c r="I82" s="442" t="s">
        <v>1073</v>
      </c>
      <c r="J82" s="449"/>
    </row>
    <row r="83" spans="2:14" x14ac:dyDescent="0.25">
      <c r="B83" s="791"/>
      <c r="C83" s="433" t="str">
        <f>CONCATENATE("Percent of Combination Trucks on ",ThirdDetourName)</f>
        <v>Percent of Combination Trucks on Tertiary Detour</v>
      </c>
      <c r="D83" s="426" t="s">
        <v>356</v>
      </c>
      <c r="E83" s="506">
        <f>D3ct1</f>
        <v>0</v>
      </c>
      <c r="F83" s="448" t="str">
        <f t="shared" si="0"/>
        <v>d</v>
      </c>
      <c r="G83" s="506">
        <f>D3ct2</f>
        <v>0</v>
      </c>
      <c r="H83" s="448" t="str">
        <f t="shared" si="1"/>
        <v>d</v>
      </c>
      <c r="I83" s="442" t="s">
        <v>1073</v>
      </c>
      <c r="J83" s="449"/>
      <c r="K83" s="35"/>
      <c r="L83" s="35"/>
      <c r="M83" s="35"/>
      <c r="N83" s="35"/>
    </row>
    <row r="84" spans="2:14" x14ac:dyDescent="0.25">
      <c r="B84" s="791"/>
      <c r="C84" s="433" t="str">
        <f>CONCATENATE("Percent of Recreational Vehicles on ",ThirdDetourName)</f>
        <v>Percent of Recreational Vehicles on Tertiary Detour</v>
      </c>
      <c r="D84" s="426" t="s">
        <v>356</v>
      </c>
      <c r="E84" s="506">
        <f>D3rv1</f>
        <v>0</v>
      </c>
      <c r="F84" s="448" t="str">
        <f t="shared" si="0"/>
        <v>d</v>
      </c>
      <c r="G84" s="506">
        <f>D3rv2</f>
        <v>0</v>
      </c>
      <c r="H84" s="448" t="str">
        <f t="shared" si="1"/>
        <v>d</v>
      </c>
      <c r="I84" s="442" t="s">
        <v>1073</v>
      </c>
      <c r="J84" s="449"/>
      <c r="K84" s="35"/>
      <c r="L84" s="35"/>
      <c r="M84" s="35"/>
      <c r="N84" s="35"/>
    </row>
    <row r="85" spans="2:14" x14ac:dyDescent="0.25">
      <c r="B85" s="805" t="s">
        <v>1144</v>
      </c>
      <c r="C85" s="432" t="s">
        <v>1138</v>
      </c>
      <c r="D85" s="515" t="s">
        <v>884</v>
      </c>
      <c r="E85" s="513" t="e">
        <f>Volumes!BU32</f>
        <v>#N/A</v>
      </c>
      <c r="F85" s="446" t="s">
        <v>1082</v>
      </c>
      <c r="G85" s="513" t="e">
        <f>Volumes!BU61</f>
        <v>#N/A</v>
      </c>
      <c r="H85" s="446" t="s">
        <v>1082</v>
      </c>
      <c r="I85" s="513" t="e">
        <f>E85+G85</f>
        <v>#N/A</v>
      </c>
      <c r="J85" s="446" t="s">
        <v>1082</v>
      </c>
    </row>
    <row r="86" spans="2:14" x14ac:dyDescent="0.25">
      <c r="B86" s="805"/>
      <c r="C86" s="432" t="str">
        <f>CONCATENATE("Total Vehicle Count through ",FirstDetourName)</f>
        <v>Total Vehicle Count through Primary Detour</v>
      </c>
      <c r="D86" s="515" t="s">
        <v>884</v>
      </c>
      <c r="E86" s="513" t="e">
        <f>Volumes!CA32</f>
        <v>#N/A</v>
      </c>
      <c r="F86" s="446" t="s">
        <v>1082</v>
      </c>
      <c r="G86" s="513" t="e">
        <f>Volumes!CA61</f>
        <v>#N/A</v>
      </c>
      <c r="H86" s="446" t="s">
        <v>1082</v>
      </c>
      <c r="I86" s="513" t="e">
        <f>E86+G86</f>
        <v>#N/A</v>
      </c>
      <c r="J86" s="446" t="s">
        <v>1082</v>
      </c>
    </row>
    <row r="87" spans="2:14" x14ac:dyDescent="0.25">
      <c r="B87" s="805"/>
      <c r="C87" s="432" t="str">
        <f>CONCATENATE("Total Vehicle Count through ",SecondDetourName)</f>
        <v>Total Vehicle Count through Secondary Detour</v>
      </c>
      <c r="D87" s="515" t="s">
        <v>884</v>
      </c>
      <c r="E87" s="513" t="e">
        <f>Volumes!CG32</f>
        <v>#N/A</v>
      </c>
      <c r="F87" s="446" t="s">
        <v>1082</v>
      </c>
      <c r="G87" s="513" t="e">
        <f>Volumes!CG61</f>
        <v>#N/A</v>
      </c>
      <c r="H87" s="446" t="s">
        <v>1082</v>
      </c>
      <c r="I87" s="513" t="e">
        <f>E87+G87</f>
        <v>#N/A</v>
      </c>
      <c r="J87" s="446" t="s">
        <v>1082</v>
      </c>
    </row>
    <row r="88" spans="2:14" x14ac:dyDescent="0.25">
      <c r="B88" s="805"/>
      <c r="C88" s="432" t="str">
        <f>CONCATENATE("Total Vehicle Count through ",ThirdDetourName)</f>
        <v>Total Vehicle Count through Tertiary Detour</v>
      </c>
      <c r="D88" s="515" t="s">
        <v>884</v>
      </c>
      <c r="E88" s="513" t="e">
        <f>Volumes!CM32</f>
        <v>#N/A</v>
      </c>
      <c r="F88" s="446" t="s">
        <v>1082</v>
      </c>
      <c r="G88" s="513" t="e">
        <f>Volumes!CM61</f>
        <v>#N/A</v>
      </c>
      <c r="H88" s="446" t="s">
        <v>1082</v>
      </c>
      <c r="I88" s="513" t="e">
        <f>E88+G88</f>
        <v>#N/A</v>
      </c>
      <c r="J88" s="446" t="s">
        <v>1082</v>
      </c>
    </row>
    <row r="89" spans="2:14" x14ac:dyDescent="0.25">
      <c r="B89" s="791" t="s">
        <v>1071</v>
      </c>
      <c r="C89" s="433" t="s">
        <v>610</v>
      </c>
      <c r="D89" s="500" t="s">
        <v>539</v>
      </c>
      <c r="E89" s="505" t="e">
        <f>TimeEX1</f>
        <v>#N/A</v>
      </c>
      <c r="F89" s="448" t="s">
        <v>1082</v>
      </c>
      <c r="G89" s="505" t="e">
        <f>TimeEX2</f>
        <v>#N/A</v>
      </c>
      <c r="H89" s="448" t="s">
        <v>1082</v>
      </c>
      <c r="I89" s="442" t="s">
        <v>1073</v>
      </c>
      <c r="J89" s="449"/>
      <c r="K89" s="35"/>
      <c r="L89" s="35"/>
      <c r="M89" s="35"/>
      <c r="N89" s="35"/>
    </row>
    <row r="90" spans="2:14" x14ac:dyDescent="0.25">
      <c r="B90" s="791"/>
      <c r="C90" s="433" t="s">
        <v>611</v>
      </c>
      <c r="D90" s="500" t="s">
        <v>539</v>
      </c>
      <c r="E90" s="505" t="e">
        <f>TimeWZ1</f>
        <v>#N/A</v>
      </c>
      <c r="F90" s="448" t="s">
        <v>1082</v>
      </c>
      <c r="G90" s="505" t="e">
        <f>TimeWZ2</f>
        <v>#N/A</v>
      </c>
      <c r="H90" s="448" t="s">
        <v>1082</v>
      </c>
      <c r="I90" s="442" t="s">
        <v>1073</v>
      </c>
      <c r="J90" s="449"/>
      <c r="K90" s="35"/>
      <c r="L90" s="35"/>
      <c r="M90" s="35"/>
      <c r="N90" s="35"/>
    </row>
    <row r="91" spans="2:14" s="35" customFormat="1" x14ac:dyDescent="0.25">
      <c r="B91" s="791"/>
      <c r="C91" s="433" t="s">
        <v>879</v>
      </c>
      <c r="D91" s="500" t="s">
        <v>539</v>
      </c>
      <c r="E91" s="505" t="e">
        <f>AddTimeTravel1</f>
        <v>#N/A</v>
      </c>
      <c r="F91" s="448" t="s">
        <v>1082</v>
      </c>
      <c r="G91" s="505" t="e">
        <f>AddTimeTravel2</f>
        <v>#N/A</v>
      </c>
      <c r="H91" s="448" t="s">
        <v>1082</v>
      </c>
      <c r="I91" s="442" t="s">
        <v>1073</v>
      </c>
      <c r="J91" s="449"/>
    </row>
    <row r="92" spans="2:14" x14ac:dyDescent="0.25">
      <c r="B92" s="791"/>
      <c r="C92" s="433" t="s">
        <v>880</v>
      </c>
      <c r="D92" s="500" t="s">
        <v>539</v>
      </c>
      <c r="E92" s="505" t="e">
        <f>Queuing!T36</f>
        <v>#N/A</v>
      </c>
      <c r="F92" s="448" t="s">
        <v>1082</v>
      </c>
      <c r="G92" s="505" t="e">
        <f>Queuing!T70</f>
        <v>#N/A</v>
      </c>
      <c r="H92" s="448" t="s">
        <v>1082</v>
      </c>
      <c r="I92" s="442" t="s">
        <v>1073</v>
      </c>
      <c r="J92" s="449"/>
      <c r="K92" s="35"/>
      <c r="L92" s="35"/>
      <c r="M92" s="35"/>
      <c r="N92" s="35"/>
    </row>
    <row r="93" spans="2:14" x14ac:dyDescent="0.25">
      <c r="B93" s="791"/>
      <c r="C93" s="433" t="s">
        <v>1001</v>
      </c>
      <c r="D93" s="500" t="s">
        <v>539</v>
      </c>
      <c r="E93" s="505" t="str">
        <f>Cycle</f>
        <v>none</v>
      </c>
      <c r="F93" s="448" t="str">
        <f>IF(ISBLANK(Input!I73),"d","U")</f>
        <v>d</v>
      </c>
      <c r="G93" s="505" t="str">
        <f>Cycle</f>
        <v>none</v>
      </c>
      <c r="H93" s="448" t="str">
        <f>IF(ISBLANK(Input!I73),"d","U")</f>
        <v>d</v>
      </c>
      <c r="I93" s="442" t="s">
        <v>1073</v>
      </c>
      <c r="J93" s="449"/>
      <c r="K93" s="35"/>
      <c r="L93" s="35"/>
      <c r="M93" s="35"/>
      <c r="N93" s="35"/>
    </row>
    <row r="94" spans="2:14" x14ac:dyDescent="0.25">
      <c r="B94" s="791"/>
      <c r="C94" s="433" t="str">
        <f>CONCATENATE(FirstDetourName," Added Time")</f>
        <v>Primary Detour Added Time</v>
      </c>
      <c r="D94" s="500" t="s">
        <v>539</v>
      </c>
      <c r="E94" s="505" t="e">
        <f>AddTimeD11</f>
        <v>#N/A</v>
      </c>
      <c r="F94" s="448" t="s">
        <v>1082</v>
      </c>
      <c r="G94" s="505" t="e">
        <f>AddTimeD12</f>
        <v>#N/A</v>
      </c>
      <c r="H94" s="448" t="s">
        <v>1082</v>
      </c>
      <c r="I94" s="442" t="s">
        <v>1073</v>
      </c>
      <c r="J94" s="449"/>
      <c r="K94" s="35"/>
      <c r="L94" s="35"/>
      <c r="M94" s="35"/>
      <c r="N94" s="35"/>
    </row>
    <row r="95" spans="2:14" x14ac:dyDescent="0.25">
      <c r="B95" s="791"/>
      <c r="C95" s="433" t="str">
        <f>CONCATENATE(SecondDetourName," Added Time")</f>
        <v>Secondary Detour Added Time</v>
      </c>
      <c r="D95" s="500" t="s">
        <v>539</v>
      </c>
      <c r="E95" s="505" t="e">
        <f>AddTimeD21</f>
        <v>#N/A</v>
      </c>
      <c r="F95" s="448" t="s">
        <v>1082</v>
      </c>
      <c r="G95" s="505" t="e">
        <f>AddTimeD22</f>
        <v>#N/A</v>
      </c>
      <c r="H95" s="448" t="s">
        <v>1082</v>
      </c>
      <c r="I95" s="442" t="s">
        <v>1073</v>
      </c>
      <c r="J95" s="449"/>
      <c r="K95" s="35"/>
      <c r="L95" s="35"/>
      <c r="M95" s="35"/>
      <c r="N95" s="35"/>
    </row>
    <row r="96" spans="2:14" s="35" customFormat="1" x14ac:dyDescent="0.25">
      <c r="B96" s="791"/>
      <c r="C96" s="433" t="str">
        <f>CONCATENATE(ThirdDetourName," Added Time")</f>
        <v>Tertiary Detour Added Time</v>
      </c>
      <c r="D96" s="500" t="s">
        <v>539</v>
      </c>
      <c r="E96" s="505" t="e">
        <f>AddTimeD31</f>
        <v>#N/A</v>
      </c>
      <c r="F96" s="448" t="s">
        <v>1082</v>
      </c>
      <c r="G96" s="505" t="e">
        <f>AddTimeD32</f>
        <v>#N/A</v>
      </c>
      <c r="H96" s="448" t="s">
        <v>1082</v>
      </c>
      <c r="I96" s="442" t="s">
        <v>1073</v>
      </c>
      <c r="J96" s="449"/>
    </row>
    <row r="97" spans="2:14" x14ac:dyDescent="0.25">
      <c r="B97" s="805" t="s">
        <v>876</v>
      </c>
      <c r="C97" s="432" t="s">
        <v>1002</v>
      </c>
      <c r="D97" s="501" t="s">
        <v>1192</v>
      </c>
      <c r="E97" s="504">
        <f>AddDelPC1</f>
        <v>0</v>
      </c>
      <c r="F97" s="446" t="str">
        <f>IF(E97&gt;0,"U","d")</f>
        <v>d</v>
      </c>
      <c r="G97" s="504">
        <f>AddDelPC2</f>
        <v>0</v>
      </c>
      <c r="H97" s="446" t="str">
        <f>IF(G97&gt;0,"U","d")</f>
        <v>d</v>
      </c>
      <c r="I97" s="441" t="s">
        <v>1073</v>
      </c>
      <c r="J97" s="447"/>
      <c r="K97" s="35"/>
      <c r="L97" s="35"/>
      <c r="M97" s="35"/>
      <c r="N97" s="35"/>
    </row>
    <row r="98" spans="2:14" x14ac:dyDescent="0.25">
      <c r="B98" s="805"/>
      <c r="C98" s="432" t="s">
        <v>1003</v>
      </c>
      <c r="D98" s="501" t="s">
        <v>1192</v>
      </c>
      <c r="E98" s="504">
        <f>AddDelSU1</f>
        <v>0</v>
      </c>
      <c r="F98" s="446" t="str">
        <f>IF(E98&gt;0,"U","d")</f>
        <v>d</v>
      </c>
      <c r="G98" s="504">
        <f>AddDelSU2</f>
        <v>0</v>
      </c>
      <c r="H98" s="446" t="str">
        <f>IF(G98&gt;0,"U","d")</f>
        <v>d</v>
      </c>
      <c r="I98" s="441" t="s">
        <v>1073</v>
      </c>
      <c r="J98" s="447"/>
      <c r="K98" s="35"/>
      <c r="L98" s="35"/>
      <c r="M98" s="35"/>
      <c r="N98" s="35"/>
    </row>
    <row r="99" spans="2:14" x14ac:dyDescent="0.25">
      <c r="B99" s="805"/>
      <c r="C99" s="432" t="s">
        <v>1004</v>
      </c>
      <c r="D99" s="501" t="s">
        <v>1192</v>
      </c>
      <c r="E99" s="504">
        <f>AddDelCT1</f>
        <v>0</v>
      </c>
      <c r="F99" s="446" t="str">
        <f>IF(E99&gt;0,"U","d")</f>
        <v>d</v>
      </c>
      <c r="G99" s="504">
        <f>AddDelCT2</f>
        <v>0</v>
      </c>
      <c r="H99" s="446" t="str">
        <f>IF(G99&gt;0,"U","d")</f>
        <v>d</v>
      </c>
      <c r="I99" s="441" t="s">
        <v>1073</v>
      </c>
      <c r="J99" s="447"/>
      <c r="K99" s="35"/>
      <c r="L99" s="35"/>
      <c r="M99" s="35"/>
      <c r="N99" s="35"/>
    </row>
    <row r="100" spans="2:14" x14ac:dyDescent="0.25">
      <c r="B100" s="805"/>
      <c r="C100" s="432" t="s">
        <v>1005</v>
      </c>
      <c r="D100" s="501" t="s">
        <v>1192</v>
      </c>
      <c r="E100" s="504">
        <f>AddDelRV1</f>
        <v>0</v>
      </c>
      <c r="F100" s="446" t="str">
        <f>IF(E100&gt;0,"U","d")</f>
        <v>d</v>
      </c>
      <c r="G100" s="504">
        <f>AddDelRV2</f>
        <v>0</v>
      </c>
      <c r="H100" s="446" t="str">
        <f>IF(G100&gt;0,"U","d")</f>
        <v>d</v>
      </c>
      <c r="I100" s="441" t="s">
        <v>1073</v>
      </c>
      <c r="J100" s="447"/>
      <c r="K100" s="35"/>
      <c r="L100" s="35"/>
      <c r="M100" s="35"/>
      <c r="N100" s="35"/>
    </row>
    <row r="101" spans="2:14" x14ac:dyDescent="0.25">
      <c r="B101" s="791" t="s">
        <v>1067</v>
      </c>
      <c r="C101" s="433" t="s">
        <v>1006</v>
      </c>
      <c r="D101" s="500" t="s">
        <v>695</v>
      </c>
      <c r="E101" s="442" t="s">
        <v>1073</v>
      </c>
      <c r="F101" s="449"/>
      <c r="G101" s="442" t="s">
        <v>1073</v>
      </c>
      <c r="H101" s="449"/>
      <c r="I101" s="503" t="e">
        <f>HourlyCostPC</f>
        <v>#N/A</v>
      </c>
      <c r="J101" s="448" t="str">
        <f>IF(J$123="d","d","c")</f>
        <v>d</v>
      </c>
      <c r="K101" s="35"/>
      <c r="L101" s="35"/>
      <c r="M101" s="35"/>
      <c r="N101" s="35"/>
    </row>
    <row r="102" spans="2:14" x14ac:dyDescent="0.25">
      <c r="B102" s="791"/>
      <c r="C102" s="433" t="s">
        <v>1008</v>
      </c>
      <c r="D102" s="500" t="s">
        <v>695</v>
      </c>
      <c r="E102" s="442" t="s">
        <v>1073</v>
      </c>
      <c r="F102" s="449"/>
      <c r="G102" s="442" t="s">
        <v>1073</v>
      </c>
      <c r="H102" s="449"/>
      <c r="I102" s="503">
        <f>HourlyCostSU</f>
        <v>32.239999999999995</v>
      </c>
      <c r="J102" s="448" t="s">
        <v>1080</v>
      </c>
      <c r="K102" s="35"/>
      <c r="L102" s="35"/>
      <c r="M102" s="35"/>
      <c r="N102" s="35"/>
    </row>
    <row r="103" spans="2:14" x14ac:dyDescent="0.25">
      <c r="B103" s="791"/>
      <c r="C103" s="433" t="s">
        <v>1009</v>
      </c>
      <c r="D103" s="500" t="s">
        <v>695</v>
      </c>
      <c r="E103" s="442" t="s">
        <v>1073</v>
      </c>
      <c r="F103" s="449"/>
      <c r="G103" s="442" t="s">
        <v>1073</v>
      </c>
      <c r="H103" s="449"/>
      <c r="I103" s="503">
        <f>HourlyCostCT</f>
        <v>53.49</v>
      </c>
      <c r="J103" s="448" t="s">
        <v>1080</v>
      </c>
      <c r="K103" s="35"/>
      <c r="L103" s="35"/>
      <c r="M103" s="35"/>
      <c r="N103" s="35"/>
    </row>
    <row r="104" spans="2:14" x14ac:dyDescent="0.25">
      <c r="B104" s="791"/>
      <c r="C104" s="433" t="s">
        <v>1007</v>
      </c>
      <c r="D104" s="500" t="s">
        <v>695</v>
      </c>
      <c r="E104" s="442" t="s">
        <v>1073</v>
      </c>
      <c r="F104" s="449"/>
      <c r="G104" s="442" t="s">
        <v>1073</v>
      </c>
      <c r="H104" s="449"/>
      <c r="I104" s="503" t="e">
        <f>HourlyCostRV</f>
        <v>#N/A</v>
      </c>
      <c r="J104" s="448" t="str">
        <f>IF(J$123="d","d","c")</f>
        <v>d</v>
      </c>
      <c r="K104" s="35"/>
      <c r="L104" s="35"/>
      <c r="M104" s="35"/>
      <c r="N104" s="35"/>
    </row>
    <row r="105" spans="2:14" x14ac:dyDescent="0.25">
      <c r="B105" s="805" t="s">
        <v>1068</v>
      </c>
      <c r="C105" s="432" t="s">
        <v>1010</v>
      </c>
      <c r="D105" s="501" t="s">
        <v>695</v>
      </c>
      <c r="E105" s="441" t="s">
        <v>1073</v>
      </c>
      <c r="F105" s="447"/>
      <c r="G105" s="441" t="s">
        <v>1073</v>
      </c>
      <c r="H105" s="447"/>
      <c r="I105" s="462">
        <f>IdlingPC</f>
        <v>1.76</v>
      </c>
      <c r="J105" s="446" t="str">
        <f>IF(J$121="d","d","c")</f>
        <v>d</v>
      </c>
      <c r="K105" s="35"/>
      <c r="L105" s="35"/>
      <c r="M105" s="35"/>
      <c r="N105" s="35"/>
    </row>
    <row r="106" spans="2:14" x14ac:dyDescent="0.25">
      <c r="B106" s="805"/>
      <c r="C106" s="432" t="s">
        <v>1011</v>
      </c>
      <c r="D106" s="501" t="s">
        <v>695</v>
      </c>
      <c r="E106" s="441" t="s">
        <v>1073</v>
      </c>
      <c r="F106" s="447"/>
      <c r="G106" s="441" t="s">
        <v>1073</v>
      </c>
      <c r="H106" s="447"/>
      <c r="I106" s="462">
        <f>IdlingSU</f>
        <v>8.8000000000000007</v>
      </c>
      <c r="J106" s="446" t="str">
        <f>IF(J$122="d","d","c")</f>
        <v>d</v>
      </c>
      <c r="K106" s="35"/>
      <c r="L106" s="35"/>
      <c r="M106" s="35"/>
      <c r="N106" s="35"/>
    </row>
    <row r="107" spans="2:14" x14ac:dyDescent="0.25">
      <c r="B107" s="805"/>
      <c r="C107" s="432" t="s">
        <v>1012</v>
      </c>
      <c r="D107" s="501" t="s">
        <v>695</v>
      </c>
      <c r="E107" s="441" t="s">
        <v>1073</v>
      </c>
      <c r="F107" s="447"/>
      <c r="G107" s="441" t="s">
        <v>1073</v>
      </c>
      <c r="H107" s="447"/>
      <c r="I107" s="462">
        <f>IdlingCT</f>
        <v>8.8000000000000007</v>
      </c>
      <c r="J107" s="446" t="str">
        <f>IF(J$122="d","d","c")</f>
        <v>d</v>
      </c>
      <c r="K107" s="35"/>
      <c r="L107" s="35"/>
      <c r="M107" s="35"/>
      <c r="N107" s="35"/>
    </row>
    <row r="108" spans="2:14" x14ac:dyDescent="0.25">
      <c r="B108" s="805"/>
      <c r="C108" s="432" t="s">
        <v>1013</v>
      </c>
      <c r="D108" s="501" t="s">
        <v>695</v>
      </c>
      <c r="E108" s="441" t="s">
        <v>1073</v>
      </c>
      <c r="F108" s="447"/>
      <c r="G108" s="441" t="s">
        <v>1073</v>
      </c>
      <c r="H108" s="447"/>
      <c r="I108" s="462">
        <f>IdlingRV</f>
        <v>7.55</v>
      </c>
      <c r="J108" s="446" t="str">
        <f>IF(J$122="d","d","c")</f>
        <v>d</v>
      </c>
      <c r="K108" s="35"/>
      <c r="L108" s="35"/>
      <c r="M108" s="35"/>
      <c r="N108" s="35"/>
    </row>
    <row r="109" spans="2:14" x14ac:dyDescent="0.25">
      <c r="B109" s="791" t="s">
        <v>1069</v>
      </c>
      <c r="C109" s="433" t="s">
        <v>1014</v>
      </c>
      <c r="D109" s="500" t="s">
        <v>695</v>
      </c>
      <c r="E109" s="503" t="e">
        <f>OperatingPC1</f>
        <v>#N/A</v>
      </c>
      <c r="F109" s="448" t="str">
        <f>IF($J$121="d","d","c")</f>
        <v>d</v>
      </c>
      <c r="G109" s="503" t="e">
        <f>OperatingPC2</f>
        <v>#N/A</v>
      </c>
      <c r="H109" s="448" t="str">
        <f>IF($J$121="d","d","c")</f>
        <v>d</v>
      </c>
      <c r="I109" s="442" t="s">
        <v>1073</v>
      </c>
      <c r="J109" s="449"/>
      <c r="K109" s="35"/>
      <c r="L109" s="35"/>
      <c r="M109" s="35"/>
      <c r="N109" s="35"/>
    </row>
    <row r="110" spans="2:14" x14ac:dyDescent="0.25">
      <c r="B110" s="791"/>
      <c r="C110" s="433" t="s">
        <v>1015</v>
      </c>
      <c r="D110" s="500" t="s">
        <v>695</v>
      </c>
      <c r="E110" s="503" t="e">
        <f>OperatingSU1</f>
        <v>#N/A</v>
      </c>
      <c r="F110" s="448" t="str">
        <f>IF($J$122="d","d","c")</f>
        <v>d</v>
      </c>
      <c r="G110" s="503" t="e">
        <f>OperatingSU2</f>
        <v>#N/A</v>
      </c>
      <c r="H110" s="448" t="str">
        <f>IF($J$122="d","d","c")</f>
        <v>d</v>
      </c>
      <c r="I110" s="442" t="s">
        <v>1073</v>
      </c>
      <c r="J110" s="449"/>
      <c r="K110" s="35"/>
      <c r="L110" s="35"/>
      <c r="M110" s="35"/>
      <c r="N110" s="35"/>
    </row>
    <row r="111" spans="2:14" x14ac:dyDescent="0.25">
      <c r="B111" s="791"/>
      <c r="C111" s="433" t="s">
        <v>1016</v>
      </c>
      <c r="D111" s="500" t="s">
        <v>695</v>
      </c>
      <c r="E111" s="503" t="e">
        <f>OperatingCT1</f>
        <v>#N/A</v>
      </c>
      <c r="F111" s="448" t="str">
        <f>IF($J$122="d","d","c")</f>
        <v>d</v>
      </c>
      <c r="G111" s="503" t="e">
        <f>OperatingCT2</f>
        <v>#N/A</v>
      </c>
      <c r="H111" s="448" t="str">
        <f>IF($J$122="d","d","c")</f>
        <v>d</v>
      </c>
      <c r="I111" s="442" t="s">
        <v>1073</v>
      </c>
      <c r="J111" s="449"/>
      <c r="K111" s="35"/>
      <c r="L111" s="35"/>
      <c r="M111" s="35"/>
      <c r="N111" s="35"/>
    </row>
    <row r="112" spans="2:14" x14ac:dyDescent="0.25">
      <c r="B112" s="791"/>
      <c r="C112" s="433" t="s">
        <v>1017</v>
      </c>
      <c r="D112" s="500" t="s">
        <v>695</v>
      </c>
      <c r="E112" s="503" t="e">
        <f>OperatingRV1</f>
        <v>#N/A</v>
      </c>
      <c r="F112" s="448" t="str">
        <f>IF($J$122="d","d","c")</f>
        <v>d</v>
      </c>
      <c r="G112" s="503" t="e">
        <f>OperatingRV2</f>
        <v>#N/A</v>
      </c>
      <c r="H112" s="448" t="str">
        <f>IF($J$122="d","d","c")</f>
        <v>d</v>
      </c>
      <c r="I112" s="442" t="s">
        <v>1073</v>
      </c>
      <c r="J112" s="449"/>
      <c r="K112" s="35"/>
      <c r="L112" s="35"/>
      <c r="M112" s="35"/>
      <c r="N112" s="35"/>
    </row>
    <row r="113" spans="2:14" x14ac:dyDescent="0.25">
      <c r="B113" s="805" t="s">
        <v>1070</v>
      </c>
      <c r="C113" s="432" t="s">
        <v>1018</v>
      </c>
      <c r="D113" s="501" t="s">
        <v>891</v>
      </c>
      <c r="E113" s="441" t="s">
        <v>1073</v>
      </c>
      <c r="F113" s="533"/>
      <c r="G113" s="441" t="s">
        <v>1073</v>
      </c>
      <c r="H113" s="533"/>
      <c r="I113" s="462">
        <f>VOCpc</f>
        <v>0.43</v>
      </c>
      <c r="J113" s="446" t="str">
        <f>IF(J$121="d","d","c")</f>
        <v>d</v>
      </c>
      <c r="K113" s="35"/>
      <c r="L113" s="35"/>
      <c r="M113" s="35"/>
      <c r="N113" s="35"/>
    </row>
    <row r="114" spans="2:14" x14ac:dyDescent="0.25">
      <c r="B114" s="805"/>
      <c r="C114" s="432" t="s">
        <v>1019</v>
      </c>
      <c r="D114" s="501" t="s">
        <v>891</v>
      </c>
      <c r="E114" s="441" t="s">
        <v>1073</v>
      </c>
      <c r="F114" s="533"/>
      <c r="G114" s="441" t="s">
        <v>1073</v>
      </c>
      <c r="H114" s="533"/>
      <c r="I114" s="462">
        <f>VOCsu</f>
        <v>0.62</v>
      </c>
      <c r="J114" s="446" t="str">
        <f>IF(J$122="d","d","c")</f>
        <v>d</v>
      </c>
      <c r="K114" s="35"/>
      <c r="L114" s="35"/>
      <c r="M114" s="35"/>
      <c r="N114" s="35"/>
    </row>
    <row r="115" spans="2:14" x14ac:dyDescent="0.25">
      <c r="B115" s="805"/>
      <c r="C115" s="432" t="s">
        <v>1020</v>
      </c>
      <c r="D115" s="501" t="s">
        <v>891</v>
      </c>
      <c r="E115" s="441" t="s">
        <v>1073</v>
      </c>
      <c r="F115" s="533"/>
      <c r="G115" s="441" t="s">
        <v>1073</v>
      </c>
      <c r="H115" s="533"/>
      <c r="I115" s="462">
        <f>VOCct</f>
        <v>0.62</v>
      </c>
      <c r="J115" s="446" t="str">
        <f>IF(J$122="d","d","c")</f>
        <v>d</v>
      </c>
      <c r="K115" s="35"/>
      <c r="L115" s="35"/>
      <c r="M115" s="35"/>
      <c r="N115" s="35"/>
    </row>
    <row r="116" spans="2:14" x14ac:dyDescent="0.25">
      <c r="B116" s="805"/>
      <c r="C116" s="432" t="s">
        <v>1021</v>
      </c>
      <c r="D116" s="501" t="s">
        <v>891</v>
      </c>
      <c r="E116" s="441" t="s">
        <v>1073</v>
      </c>
      <c r="F116" s="533"/>
      <c r="G116" s="441" t="s">
        <v>1073</v>
      </c>
      <c r="H116" s="533"/>
      <c r="I116" s="462">
        <f>VOCrv</f>
        <v>0.62</v>
      </c>
      <c r="J116" s="446" t="str">
        <f>IF(J$122="d","d","c")</f>
        <v>d</v>
      </c>
    </row>
    <row r="117" spans="2:14" x14ac:dyDescent="0.25">
      <c r="B117" s="791" t="s">
        <v>1066</v>
      </c>
      <c r="C117" s="433" t="s">
        <v>1032</v>
      </c>
      <c r="D117" s="500" t="s">
        <v>1077</v>
      </c>
      <c r="E117" s="801">
        <f>AVOpcp</f>
        <v>1.67</v>
      </c>
      <c r="F117" s="802"/>
      <c r="G117" s="802"/>
      <c r="H117" s="802"/>
      <c r="I117" s="802"/>
      <c r="J117" s="448" t="str">
        <f>IF(ISBLANK(AVOpcpOverride),"d","#")</f>
        <v>d</v>
      </c>
    </row>
    <row r="118" spans="2:14" x14ac:dyDescent="0.25">
      <c r="B118" s="791"/>
      <c r="C118" s="433" t="s">
        <v>1033</v>
      </c>
      <c r="D118" s="500" t="s">
        <v>1077</v>
      </c>
      <c r="E118" s="801">
        <f>AVOpcb</f>
        <v>1.24</v>
      </c>
      <c r="F118" s="802"/>
      <c r="G118" s="802"/>
      <c r="H118" s="802"/>
      <c r="I118" s="802"/>
      <c r="J118" s="448" t="str">
        <f>IF(ISBLANK(AVOpcpOverride),"d","#")</f>
        <v>d</v>
      </c>
      <c r="N118" s="35"/>
    </row>
    <row r="119" spans="2:14" x14ac:dyDescent="0.25">
      <c r="B119" s="791"/>
      <c r="C119" s="433" t="s">
        <v>1030</v>
      </c>
      <c r="D119" s="500" t="s">
        <v>1077</v>
      </c>
      <c r="E119" s="801">
        <f>AVOsu</f>
        <v>1.0249999999999999</v>
      </c>
      <c r="F119" s="802"/>
      <c r="G119" s="802"/>
      <c r="H119" s="802"/>
      <c r="I119" s="802"/>
      <c r="J119" s="448" t="str">
        <f>IF(ISBLANK(AVOpcpOverride),"d","#")</f>
        <v>d</v>
      </c>
      <c r="K119" s="35"/>
      <c r="L119" s="35"/>
      <c r="M119" s="35"/>
      <c r="N119" s="35"/>
    </row>
    <row r="120" spans="2:14" x14ac:dyDescent="0.25">
      <c r="B120" s="791"/>
      <c r="C120" s="433" t="s">
        <v>1031</v>
      </c>
      <c r="D120" s="500" t="s">
        <v>1077</v>
      </c>
      <c r="E120" s="801">
        <f>AVOct</f>
        <v>1.1200000000000001</v>
      </c>
      <c r="F120" s="802"/>
      <c r="G120" s="802"/>
      <c r="H120" s="802"/>
      <c r="I120" s="802"/>
      <c r="J120" s="448" t="str">
        <f>IF(ISBLANK(AVOpcpOverride),"d","#")</f>
        <v>d</v>
      </c>
      <c r="K120" s="35"/>
      <c r="L120" s="35"/>
      <c r="M120" s="35"/>
    </row>
    <row r="121" spans="2:14" x14ac:dyDescent="0.25">
      <c r="B121" s="805" t="s">
        <v>1065</v>
      </c>
      <c r="C121" s="432" t="s">
        <v>877</v>
      </c>
      <c r="D121" s="501" t="s">
        <v>838</v>
      </c>
      <c r="E121" s="812">
        <f>Gasoline</f>
        <v>3</v>
      </c>
      <c r="F121" s="813"/>
      <c r="G121" s="813"/>
      <c r="H121" s="813"/>
      <c r="I121" s="813"/>
      <c r="J121" s="446" t="str">
        <f>IF(ISBLANK(Overrides!AA28),"d","#")</f>
        <v>d</v>
      </c>
    </row>
    <row r="122" spans="2:14" x14ac:dyDescent="0.25">
      <c r="B122" s="805"/>
      <c r="C122" s="432" t="s">
        <v>878</v>
      </c>
      <c r="D122" s="501" t="s">
        <v>838</v>
      </c>
      <c r="E122" s="812">
        <f>Diesel</f>
        <v>3.5</v>
      </c>
      <c r="F122" s="813"/>
      <c r="G122" s="813"/>
      <c r="H122" s="813"/>
      <c r="I122" s="813"/>
      <c r="J122" s="446" t="str">
        <f>IF(ISBLANK(Overrides!AA29),"d","#")</f>
        <v>d</v>
      </c>
      <c r="K122" s="35"/>
      <c r="L122" s="35"/>
      <c r="M122" s="35"/>
      <c r="N122" s="35"/>
    </row>
    <row r="123" spans="2:14" x14ac:dyDescent="0.25">
      <c r="B123" s="791" t="s">
        <v>1064</v>
      </c>
      <c r="C123" s="433" t="s">
        <v>810</v>
      </c>
      <c r="D123" s="500" t="s">
        <v>886</v>
      </c>
      <c r="E123" s="816">
        <f>MAHI</f>
        <v>59036</v>
      </c>
      <c r="F123" s="817"/>
      <c r="G123" s="817"/>
      <c r="H123" s="817"/>
      <c r="I123" s="817"/>
      <c r="J123" s="448" t="str">
        <f>IF(ISBLANK(MAHIoverride),"d","#")</f>
        <v>d</v>
      </c>
      <c r="K123" s="35"/>
      <c r="L123" s="35"/>
      <c r="M123" s="35"/>
      <c r="N123" s="35"/>
    </row>
    <row r="124" spans="2:14" x14ac:dyDescent="0.25">
      <c r="B124" s="791"/>
      <c r="C124" s="433" t="s">
        <v>818</v>
      </c>
      <c r="D124" s="500" t="s">
        <v>356</v>
      </c>
      <c r="E124" s="814">
        <f>Values!O276</f>
        <v>5.5E-2</v>
      </c>
      <c r="F124" s="815"/>
      <c r="G124" s="815"/>
      <c r="H124" s="815"/>
      <c r="I124" s="815"/>
      <c r="J124" s="448" t="str">
        <f>IF(ISBLANK(Overrides!AA21),"d","#")</f>
        <v>d</v>
      </c>
      <c r="K124" s="35"/>
      <c r="L124" s="35"/>
      <c r="M124" s="35"/>
      <c r="N124" s="35"/>
    </row>
    <row r="125" spans="2:14" x14ac:dyDescent="0.25">
      <c r="B125" s="805" t="s">
        <v>881</v>
      </c>
      <c r="C125" s="432" t="s">
        <v>1022</v>
      </c>
      <c r="D125" s="501" t="s">
        <v>764</v>
      </c>
      <c r="E125" s="462" t="e">
        <f>ROUND((CPPCwz1*pctADTPC1)+(CPSUwz1*pctADTSU1)+(CPCTwz1*pctADTCT1)+(CPRVwz1*pctADTRV1),2)</f>
        <v>#N/A</v>
      </c>
      <c r="F125" s="446" t="s">
        <v>1082</v>
      </c>
      <c r="G125" s="462" t="e">
        <f>ROUND((CPPCwz2*pctADTPC2)+(CPSUwz2*pctADTSU2)+(CPCTwz2*pctADTCT2)+(CPRVwz2*pctADTRV2),2)</f>
        <v>#N/A</v>
      </c>
      <c r="H125" s="446" t="s">
        <v>1082</v>
      </c>
      <c r="I125" s="462" t="e">
        <f t="shared" ref="I125:I130" si="2">ROUND((E125*Split1)+(G125*Split2),2)</f>
        <v>#N/A</v>
      </c>
      <c r="J125" s="446" t="s">
        <v>1082</v>
      </c>
      <c r="K125" s="35"/>
      <c r="L125" s="35"/>
      <c r="M125" s="35"/>
      <c r="N125" s="35"/>
    </row>
    <row r="126" spans="2:14" x14ac:dyDescent="0.25">
      <c r="B126" s="805"/>
      <c r="C126" s="432" t="s">
        <v>1023</v>
      </c>
      <c r="D126" s="501" t="s">
        <v>764</v>
      </c>
      <c r="E126" s="462" t="e">
        <f>ROUND((CPPCq1*pctADTPC1)+(CPSUq1*pctADTSU1)+(CPCTq1*pctADTCT1)+(CPRVq1*pctADTRV1),2)</f>
        <v>#N/A</v>
      </c>
      <c r="F126" s="446" t="s">
        <v>1082</v>
      </c>
      <c r="G126" s="462" t="e">
        <f>ROUND((CPPCq2*pctADTPC2)+(CPSUq2*pctADTSU2)+(CPCTq2*pctADTCT2)+(CPRVq2*pctADTRV2),2)</f>
        <v>#N/A</v>
      </c>
      <c r="H126" s="446" t="s">
        <v>1082</v>
      </c>
      <c r="I126" s="462" t="e">
        <f t="shared" si="2"/>
        <v>#N/A</v>
      </c>
      <c r="J126" s="446" t="s">
        <v>1082</v>
      </c>
      <c r="K126" s="35"/>
      <c r="L126" s="35"/>
      <c r="M126" s="35"/>
      <c r="N126" s="35"/>
    </row>
    <row r="127" spans="2:14" x14ac:dyDescent="0.25">
      <c r="B127" s="805"/>
      <c r="C127" s="432" t="s">
        <v>1024</v>
      </c>
      <c r="D127" s="501" t="s">
        <v>764</v>
      </c>
      <c r="E127" s="462" t="e">
        <f>ROUND((CPPCf1*pctADTPC1)+(CPSUf1*pctADTSU1)+(CPCTf1*pctADTCT1)+(CPRVf1*pctADTRV1),2)</f>
        <v>#N/A</v>
      </c>
      <c r="F127" s="446" t="s">
        <v>1082</v>
      </c>
      <c r="G127" s="462" t="e">
        <f>ROUND((CPPCf2*pctADTPC2)+(CPSUf2*pctADTSU2)+(CPCTf2*pctADTCT2)+(CPRVf2*pctADTRV2),2)</f>
        <v>#N/A</v>
      </c>
      <c r="H127" s="446" t="s">
        <v>1082</v>
      </c>
      <c r="I127" s="462" t="e">
        <f t="shared" si="2"/>
        <v>#N/A</v>
      </c>
      <c r="J127" s="446" t="s">
        <v>1082</v>
      </c>
      <c r="K127" s="35"/>
      <c r="L127" s="35"/>
      <c r="M127" s="35"/>
      <c r="N127" s="35"/>
    </row>
    <row r="128" spans="2:14" x14ac:dyDescent="0.25">
      <c r="B128" s="805"/>
      <c r="C128" s="432" t="str">
        <f>CONCATENATE("Cost Per Vehicle on ",FirstDetourName)</f>
        <v>Cost Per Vehicle on Primary Detour</v>
      </c>
      <c r="D128" s="501" t="s">
        <v>764</v>
      </c>
      <c r="E128" s="462" t="e">
        <f>ROUND((CPPCd11*pctADTPC1)+(CPSUd11*pctADTSU1)+(CPCTd11*pctADTCT1)+(CPRVd11*pctADTRV1),2)</f>
        <v>#N/A</v>
      </c>
      <c r="F128" s="446" t="s">
        <v>1082</v>
      </c>
      <c r="G128" s="462" t="e">
        <f>ROUND((CPPCd12*pctADTPC2)+(CPSUd12*pctADTSU2)+(CPCTd12*pctADTCT2)+(CPRVd12*pctADTRV2),2)</f>
        <v>#N/A</v>
      </c>
      <c r="H128" s="446" t="s">
        <v>1082</v>
      </c>
      <c r="I128" s="462" t="e">
        <f t="shared" si="2"/>
        <v>#N/A</v>
      </c>
      <c r="J128" s="446" t="s">
        <v>1082</v>
      </c>
      <c r="K128" s="35"/>
      <c r="L128" s="35"/>
      <c r="M128" s="35"/>
      <c r="N128" s="35"/>
    </row>
    <row r="129" spans="2:14" x14ac:dyDescent="0.25">
      <c r="B129" s="805"/>
      <c r="C129" s="432" t="str">
        <f>CONCATENATE("Cost Per Vehicle on ",SecondDetourName)</f>
        <v>Cost Per Vehicle on Secondary Detour</v>
      </c>
      <c r="D129" s="501" t="s">
        <v>764</v>
      </c>
      <c r="E129" s="462" t="e">
        <f>ROUND((CPPCd21*pctADTPC1)+(CPSUd21*pctADTSU1)+(CPCTd21*pctADTCT1)+(CPRVd21*pctADTRV1),2)</f>
        <v>#N/A</v>
      </c>
      <c r="F129" s="446" t="s">
        <v>1082</v>
      </c>
      <c r="G129" s="462" t="e">
        <f>ROUND((CPPCd22*pctADTPC2)+(CPSUd22*pctADTSU2)+(CPCTd22*pctADTCT2)+(CPRVd22*pctADTRV2),2)</f>
        <v>#N/A</v>
      </c>
      <c r="H129" s="446" t="s">
        <v>1082</v>
      </c>
      <c r="I129" s="462" t="e">
        <f t="shared" si="2"/>
        <v>#N/A</v>
      </c>
      <c r="J129" s="446" t="s">
        <v>1082</v>
      </c>
      <c r="K129" s="35"/>
      <c r="L129" s="35"/>
      <c r="M129" s="35"/>
      <c r="N129" s="35"/>
    </row>
    <row r="130" spans="2:14" x14ac:dyDescent="0.25">
      <c r="B130" s="805"/>
      <c r="C130" s="432" t="str">
        <f>CONCATENATE("Cost Per Vehicle on ",ThirdDetourName)</f>
        <v>Cost Per Vehicle on Tertiary Detour</v>
      </c>
      <c r="D130" s="501" t="s">
        <v>764</v>
      </c>
      <c r="E130" s="462" t="e">
        <f>ROUND((CPPCd31*pctADTPC1)+(CPSUd31*pctADTSU1)+(CPCTd31*pctADTCT1)+(CPRVd31*pctADTRV1),2)</f>
        <v>#N/A</v>
      </c>
      <c r="F130" s="446" t="s">
        <v>1082</v>
      </c>
      <c r="G130" s="462" t="e">
        <f>ROUND((CPPCd32*pctADTPC2)+(CPSUd32*pctADTSU2)+(CPCTd32*pctADTCT2)+(CPRVd32*pctADTRV2),2)</f>
        <v>#N/A</v>
      </c>
      <c r="H130" s="446" t="s">
        <v>1082</v>
      </c>
      <c r="I130" s="462" t="e">
        <f t="shared" si="2"/>
        <v>#N/A</v>
      </c>
      <c r="J130" s="446" t="s">
        <v>1082</v>
      </c>
      <c r="K130" s="35"/>
      <c r="L130" s="35"/>
      <c r="M130" s="35"/>
      <c r="N130" s="35"/>
    </row>
    <row r="131" spans="2:14" x14ac:dyDescent="0.25">
      <c r="B131" s="791" t="s">
        <v>1063</v>
      </c>
      <c r="C131" s="433" t="s">
        <v>1034</v>
      </c>
      <c r="D131" s="500" t="s">
        <v>356</v>
      </c>
      <c r="E131" s="502" t="e">
        <f>Values!C331</f>
        <v>#N/A</v>
      </c>
      <c r="F131" s="448" t="str">
        <f>IF(Overrides!L$34=100,"#","d")</f>
        <v>d</v>
      </c>
      <c r="G131" s="502" t="e">
        <f>Values!D331</f>
        <v>#N/A</v>
      </c>
      <c r="H131" s="448" t="str">
        <f>IF(Overrides!O$34=100,"#","d")</f>
        <v>d</v>
      </c>
      <c r="I131" s="442" t="s">
        <v>1073</v>
      </c>
      <c r="J131" s="449"/>
      <c r="K131" s="35"/>
      <c r="L131" s="35"/>
      <c r="M131" s="35"/>
      <c r="N131" s="35"/>
    </row>
    <row r="132" spans="2:14" x14ac:dyDescent="0.25">
      <c r="B132" s="791"/>
      <c r="C132" s="433" t="s">
        <v>1035</v>
      </c>
      <c r="D132" s="500" t="s">
        <v>356</v>
      </c>
      <c r="E132" s="502" t="e">
        <f>Values!C332</f>
        <v>#N/A</v>
      </c>
      <c r="F132" s="448" t="str">
        <f>IF(Overrides!L$34=100,"#","d")</f>
        <v>d</v>
      </c>
      <c r="G132" s="502" t="e">
        <f>Values!D332</f>
        <v>#N/A</v>
      </c>
      <c r="H132" s="448" t="str">
        <f>IF(Overrides!O$34=100,"#","d")</f>
        <v>d</v>
      </c>
      <c r="I132" s="442" t="s">
        <v>1073</v>
      </c>
      <c r="J132" s="449"/>
      <c r="K132" s="35"/>
      <c r="L132" s="35"/>
      <c r="M132" s="35"/>
      <c r="N132" s="35"/>
    </row>
    <row r="133" spans="2:14" x14ac:dyDescent="0.25">
      <c r="B133" s="791"/>
      <c r="C133" s="433" t="s">
        <v>1037</v>
      </c>
      <c r="D133" s="500" t="s">
        <v>356</v>
      </c>
      <c r="E133" s="502" t="e">
        <f>Values!C333</f>
        <v>#N/A</v>
      </c>
      <c r="F133" s="448" t="str">
        <f>IF(Overrides!L$34=100,"#","d")</f>
        <v>d</v>
      </c>
      <c r="G133" s="502" t="e">
        <f>Values!D333</f>
        <v>#N/A</v>
      </c>
      <c r="H133" s="448" t="str">
        <f>IF(Overrides!O$34=100,"#","d")</f>
        <v>d</v>
      </c>
      <c r="I133" s="442" t="s">
        <v>1073</v>
      </c>
      <c r="J133" s="449"/>
      <c r="K133" s="35"/>
      <c r="L133" s="35"/>
      <c r="M133" s="35"/>
      <c r="N133" s="35"/>
    </row>
    <row r="134" spans="2:14" x14ac:dyDescent="0.25">
      <c r="B134" s="791"/>
      <c r="C134" s="433" t="s">
        <v>1036</v>
      </c>
      <c r="D134" s="500" t="s">
        <v>356</v>
      </c>
      <c r="E134" s="502" t="e">
        <f>Values!C334</f>
        <v>#N/A</v>
      </c>
      <c r="F134" s="448" t="str">
        <f>IF(Overrides!L$34=100,"#","d")</f>
        <v>d</v>
      </c>
      <c r="G134" s="502" t="e">
        <f>Values!D334</f>
        <v>#N/A</v>
      </c>
      <c r="H134" s="448" t="str">
        <f>IF(Overrides!O$34=100,"#","d")</f>
        <v>d</v>
      </c>
      <c r="I134" s="442" t="s">
        <v>1073</v>
      </c>
      <c r="J134" s="449"/>
      <c r="K134" s="35"/>
      <c r="L134" s="35"/>
      <c r="M134" s="35"/>
      <c r="N134" s="35"/>
    </row>
    <row r="135" spans="2:14" x14ac:dyDescent="0.25">
      <c r="B135" s="791"/>
      <c r="C135" s="433" t="s">
        <v>1038</v>
      </c>
      <c r="D135" s="500" t="s">
        <v>356</v>
      </c>
      <c r="E135" s="502" t="e">
        <f>Values!C335</f>
        <v>#N/A</v>
      </c>
      <c r="F135" s="448" t="str">
        <f>IF(Overrides!L$34=100,"#","d")</f>
        <v>d</v>
      </c>
      <c r="G135" s="502" t="e">
        <f>Values!D335</f>
        <v>#N/A</v>
      </c>
      <c r="H135" s="448" t="str">
        <f>IF(Overrides!O$34=100,"#","d")</f>
        <v>d</v>
      </c>
      <c r="I135" s="442" t="s">
        <v>1073</v>
      </c>
      <c r="J135" s="449"/>
      <c r="K135" s="35"/>
      <c r="L135" s="35"/>
      <c r="M135" s="35"/>
    </row>
    <row r="136" spans="2:14" x14ac:dyDescent="0.25">
      <c r="B136" s="791"/>
      <c r="C136" s="433" t="s">
        <v>1039</v>
      </c>
      <c r="D136" s="500" t="s">
        <v>356</v>
      </c>
      <c r="E136" s="502" t="e">
        <f>Values!C336</f>
        <v>#N/A</v>
      </c>
      <c r="F136" s="448" t="str">
        <f>IF(Overrides!L$34=100,"#","d")</f>
        <v>d</v>
      </c>
      <c r="G136" s="502" t="e">
        <f>Values!D336</f>
        <v>#N/A</v>
      </c>
      <c r="H136" s="448" t="str">
        <f>IF(Overrides!O$34=100,"#","d")</f>
        <v>d</v>
      </c>
      <c r="I136" s="442" t="s">
        <v>1073</v>
      </c>
      <c r="J136" s="449"/>
    </row>
    <row r="137" spans="2:14" x14ac:dyDescent="0.25">
      <c r="B137" s="791"/>
      <c r="C137" s="433" t="s">
        <v>1040</v>
      </c>
      <c r="D137" s="500" t="s">
        <v>356</v>
      </c>
      <c r="E137" s="502" t="e">
        <f>Values!C337</f>
        <v>#N/A</v>
      </c>
      <c r="F137" s="448" t="str">
        <f>IF(Overrides!L$34=100,"#","d")</f>
        <v>d</v>
      </c>
      <c r="G137" s="502" t="e">
        <f>Values!D337</f>
        <v>#N/A</v>
      </c>
      <c r="H137" s="448" t="str">
        <f>IF(Overrides!O$34=100,"#","d")</f>
        <v>d</v>
      </c>
      <c r="I137" s="442" t="s">
        <v>1073</v>
      </c>
      <c r="J137" s="449"/>
    </row>
    <row r="138" spans="2:14" x14ac:dyDescent="0.25">
      <c r="B138" s="791"/>
      <c r="C138" s="433" t="s">
        <v>1041</v>
      </c>
      <c r="D138" s="500" t="s">
        <v>356</v>
      </c>
      <c r="E138" s="502" t="e">
        <f>Values!C338</f>
        <v>#N/A</v>
      </c>
      <c r="F138" s="448" t="str">
        <f>IF(Overrides!L$34=100,"#","d")</f>
        <v>d</v>
      </c>
      <c r="G138" s="502" t="e">
        <f>Values!D338</f>
        <v>#N/A</v>
      </c>
      <c r="H138" s="448" t="str">
        <f>IF(Overrides!O$34=100,"#","d")</f>
        <v>d</v>
      </c>
      <c r="I138" s="442" t="s">
        <v>1073</v>
      </c>
      <c r="J138" s="449"/>
    </row>
    <row r="139" spans="2:14" x14ac:dyDescent="0.25">
      <c r="B139" s="791"/>
      <c r="C139" s="433" t="s">
        <v>1042</v>
      </c>
      <c r="D139" s="500" t="s">
        <v>356</v>
      </c>
      <c r="E139" s="502" t="e">
        <f>Values!C339</f>
        <v>#N/A</v>
      </c>
      <c r="F139" s="448" t="str">
        <f>IF(Overrides!L$34=100,"#","d")</f>
        <v>d</v>
      </c>
      <c r="G139" s="502" t="e">
        <f>Values!D339</f>
        <v>#N/A</v>
      </c>
      <c r="H139" s="448" t="str">
        <f>IF(Overrides!O$34=100,"#","d")</f>
        <v>d</v>
      </c>
      <c r="I139" s="442" t="s">
        <v>1073</v>
      </c>
      <c r="J139" s="449"/>
    </row>
    <row r="140" spans="2:14" x14ac:dyDescent="0.25">
      <c r="B140" s="791"/>
      <c r="C140" s="433" t="s">
        <v>1043</v>
      </c>
      <c r="D140" s="500" t="s">
        <v>356</v>
      </c>
      <c r="E140" s="502" t="e">
        <f>Values!C340</f>
        <v>#N/A</v>
      </c>
      <c r="F140" s="448" t="str">
        <f>IF(Overrides!L$34=100,"#","d")</f>
        <v>d</v>
      </c>
      <c r="G140" s="502" t="e">
        <f>Values!D340</f>
        <v>#N/A</v>
      </c>
      <c r="H140" s="448" t="str">
        <f>IF(Overrides!O$34=100,"#","d")</f>
        <v>d</v>
      </c>
      <c r="I140" s="442" t="s">
        <v>1073</v>
      </c>
      <c r="J140" s="449"/>
    </row>
    <row r="141" spans="2:14" x14ac:dyDescent="0.25">
      <c r="B141" s="791"/>
      <c r="C141" s="433" t="s">
        <v>1044</v>
      </c>
      <c r="D141" s="500" t="s">
        <v>356</v>
      </c>
      <c r="E141" s="502" t="e">
        <f>Values!C341</f>
        <v>#N/A</v>
      </c>
      <c r="F141" s="448" t="str">
        <f>IF(Overrides!L$34=100,"#","d")</f>
        <v>d</v>
      </c>
      <c r="G141" s="502" t="e">
        <f>Values!D341</f>
        <v>#N/A</v>
      </c>
      <c r="H141" s="448" t="str">
        <f>IF(Overrides!O$34=100,"#","d")</f>
        <v>d</v>
      </c>
      <c r="I141" s="442" t="s">
        <v>1073</v>
      </c>
      <c r="J141" s="449"/>
    </row>
    <row r="142" spans="2:14" x14ac:dyDescent="0.25">
      <c r="B142" s="791"/>
      <c r="C142" s="433" t="s">
        <v>1045</v>
      </c>
      <c r="D142" s="500" t="s">
        <v>356</v>
      </c>
      <c r="E142" s="502" t="e">
        <f>Values!C342</f>
        <v>#N/A</v>
      </c>
      <c r="F142" s="448" t="str">
        <f>IF(Overrides!L$34=100,"#","d")</f>
        <v>d</v>
      </c>
      <c r="G142" s="502" t="e">
        <f>Values!D342</f>
        <v>#N/A</v>
      </c>
      <c r="H142" s="448" t="str">
        <f>IF(Overrides!O$34=100,"#","d")</f>
        <v>d</v>
      </c>
      <c r="I142" s="442" t="s">
        <v>1073</v>
      </c>
      <c r="J142" s="449"/>
    </row>
    <row r="143" spans="2:14" x14ac:dyDescent="0.25">
      <c r="B143" s="791"/>
      <c r="C143" s="433" t="s">
        <v>1046</v>
      </c>
      <c r="D143" s="500" t="s">
        <v>356</v>
      </c>
      <c r="E143" s="502" t="e">
        <f>Values!C343</f>
        <v>#N/A</v>
      </c>
      <c r="F143" s="448" t="str">
        <f>IF(Overrides!L$34=100,"#","d")</f>
        <v>d</v>
      </c>
      <c r="G143" s="502" t="e">
        <f>Values!D343</f>
        <v>#N/A</v>
      </c>
      <c r="H143" s="448" t="str">
        <f>IF(Overrides!O$34=100,"#","d")</f>
        <v>d</v>
      </c>
      <c r="I143" s="442" t="s">
        <v>1073</v>
      </c>
      <c r="J143" s="449"/>
    </row>
    <row r="144" spans="2:14" x14ac:dyDescent="0.25">
      <c r="B144" s="791"/>
      <c r="C144" s="433" t="s">
        <v>1047</v>
      </c>
      <c r="D144" s="500" t="s">
        <v>356</v>
      </c>
      <c r="E144" s="502" t="e">
        <f>Values!C344</f>
        <v>#N/A</v>
      </c>
      <c r="F144" s="448" t="str">
        <f>IF(Overrides!L$34=100,"#","d")</f>
        <v>d</v>
      </c>
      <c r="G144" s="502" t="e">
        <f>Values!D344</f>
        <v>#N/A</v>
      </c>
      <c r="H144" s="448" t="str">
        <f>IF(Overrides!O$34=100,"#","d")</f>
        <v>d</v>
      </c>
      <c r="I144" s="442" t="s">
        <v>1073</v>
      </c>
      <c r="J144" s="449"/>
    </row>
    <row r="145" spans="2:10" x14ac:dyDescent="0.25">
      <c r="B145" s="791"/>
      <c r="C145" s="433" t="s">
        <v>1048</v>
      </c>
      <c r="D145" s="500" t="s">
        <v>356</v>
      </c>
      <c r="E145" s="502" t="e">
        <f>Values!C345</f>
        <v>#N/A</v>
      </c>
      <c r="F145" s="448" t="str">
        <f>IF(Overrides!L$34=100,"#","d")</f>
        <v>d</v>
      </c>
      <c r="G145" s="502" t="e">
        <f>Values!D345</f>
        <v>#N/A</v>
      </c>
      <c r="H145" s="448" t="str">
        <f>IF(Overrides!O$34=100,"#","d")</f>
        <v>d</v>
      </c>
      <c r="I145" s="442" t="s">
        <v>1073</v>
      </c>
      <c r="J145" s="449"/>
    </row>
    <row r="146" spans="2:10" x14ac:dyDescent="0.25">
      <c r="B146" s="791"/>
      <c r="C146" s="433" t="s">
        <v>1049</v>
      </c>
      <c r="D146" s="500" t="s">
        <v>356</v>
      </c>
      <c r="E146" s="502" t="e">
        <f>Values!C346</f>
        <v>#N/A</v>
      </c>
      <c r="F146" s="448" t="str">
        <f>IF(Overrides!L$34=100,"#","d")</f>
        <v>d</v>
      </c>
      <c r="G146" s="502" t="e">
        <f>Values!D346</f>
        <v>#N/A</v>
      </c>
      <c r="H146" s="448" t="str">
        <f>IF(Overrides!O$34=100,"#","d")</f>
        <v>d</v>
      </c>
      <c r="I146" s="442" t="s">
        <v>1073</v>
      </c>
      <c r="J146" s="449"/>
    </row>
    <row r="147" spans="2:10" x14ac:dyDescent="0.25">
      <c r="B147" s="791"/>
      <c r="C147" s="433" t="s">
        <v>1050</v>
      </c>
      <c r="D147" s="500" t="s">
        <v>356</v>
      </c>
      <c r="E147" s="502" t="e">
        <f>Values!C347</f>
        <v>#N/A</v>
      </c>
      <c r="F147" s="448" t="str">
        <f>IF(Overrides!L$34=100,"#","d")</f>
        <v>d</v>
      </c>
      <c r="G147" s="502" t="e">
        <f>Values!D347</f>
        <v>#N/A</v>
      </c>
      <c r="H147" s="448" t="str">
        <f>IF(Overrides!O$34=100,"#","d")</f>
        <v>d</v>
      </c>
      <c r="I147" s="442" t="s">
        <v>1073</v>
      </c>
      <c r="J147" s="449"/>
    </row>
    <row r="148" spans="2:10" x14ac:dyDescent="0.25">
      <c r="B148" s="791"/>
      <c r="C148" s="433" t="s">
        <v>1051</v>
      </c>
      <c r="D148" s="500" t="s">
        <v>356</v>
      </c>
      <c r="E148" s="502" t="e">
        <f>Values!C348</f>
        <v>#N/A</v>
      </c>
      <c r="F148" s="448" t="str">
        <f>IF(Overrides!L$34=100,"#","d")</f>
        <v>d</v>
      </c>
      <c r="G148" s="502" t="e">
        <f>Values!D348</f>
        <v>#N/A</v>
      </c>
      <c r="H148" s="448" t="str">
        <f>IF(Overrides!O$34=100,"#","d")</f>
        <v>d</v>
      </c>
      <c r="I148" s="442" t="s">
        <v>1073</v>
      </c>
      <c r="J148" s="449"/>
    </row>
    <row r="149" spans="2:10" x14ac:dyDescent="0.25">
      <c r="B149" s="791"/>
      <c r="C149" s="433" t="s">
        <v>1052</v>
      </c>
      <c r="D149" s="500" t="s">
        <v>356</v>
      </c>
      <c r="E149" s="502" t="e">
        <f>Values!C349</f>
        <v>#N/A</v>
      </c>
      <c r="F149" s="448" t="str">
        <f>IF(Overrides!L$34=100,"#","d")</f>
        <v>d</v>
      </c>
      <c r="G149" s="502" t="e">
        <f>Values!D349</f>
        <v>#N/A</v>
      </c>
      <c r="H149" s="448" t="str">
        <f>IF(Overrides!O$34=100,"#","d")</f>
        <v>d</v>
      </c>
      <c r="I149" s="442" t="s">
        <v>1073</v>
      </c>
      <c r="J149" s="449"/>
    </row>
    <row r="150" spans="2:10" x14ac:dyDescent="0.25">
      <c r="B150" s="791"/>
      <c r="C150" s="433" t="s">
        <v>1053</v>
      </c>
      <c r="D150" s="500" t="s">
        <v>356</v>
      </c>
      <c r="E150" s="502" t="e">
        <f>Values!C350</f>
        <v>#N/A</v>
      </c>
      <c r="F150" s="448" t="str">
        <f>IF(Overrides!L$34=100,"#","d")</f>
        <v>d</v>
      </c>
      <c r="G150" s="502" t="e">
        <f>Values!D350</f>
        <v>#N/A</v>
      </c>
      <c r="H150" s="448" t="str">
        <f>IF(Overrides!O$34=100,"#","d")</f>
        <v>d</v>
      </c>
      <c r="I150" s="442" t="s">
        <v>1073</v>
      </c>
      <c r="J150" s="449"/>
    </row>
    <row r="151" spans="2:10" x14ac:dyDescent="0.25">
      <c r="B151" s="791"/>
      <c r="C151" s="433" t="s">
        <v>1054</v>
      </c>
      <c r="D151" s="500" t="s">
        <v>356</v>
      </c>
      <c r="E151" s="502" t="e">
        <f>Values!C351</f>
        <v>#N/A</v>
      </c>
      <c r="F151" s="448" t="str">
        <f>IF(Overrides!L$34=100,"#","d")</f>
        <v>d</v>
      </c>
      <c r="G151" s="502" t="e">
        <f>Values!D351</f>
        <v>#N/A</v>
      </c>
      <c r="H151" s="448" t="str">
        <f>IF(Overrides!O$34=100,"#","d")</f>
        <v>d</v>
      </c>
      <c r="I151" s="442" t="s">
        <v>1073</v>
      </c>
      <c r="J151" s="449"/>
    </row>
    <row r="152" spans="2:10" x14ac:dyDescent="0.25">
      <c r="B152" s="791"/>
      <c r="C152" s="433" t="s">
        <v>1055</v>
      </c>
      <c r="D152" s="500" t="s">
        <v>356</v>
      </c>
      <c r="E152" s="502" t="e">
        <f>Values!C352</f>
        <v>#N/A</v>
      </c>
      <c r="F152" s="448" t="str">
        <f>IF(Overrides!L$34=100,"#","d")</f>
        <v>d</v>
      </c>
      <c r="G152" s="502" t="e">
        <f>Values!D352</f>
        <v>#N/A</v>
      </c>
      <c r="H152" s="448" t="str">
        <f>IF(Overrides!O$34=100,"#","d")</f>
        <v>d</v>
      </c>
      <c r="I152" s="442" t="s">
        <v>1073</v>
      </c>
      <c r="J152" s="449"/>
    </row>
    <row r="153" spans="2:10" x14ac:dyDescent="0.25">
      <c r="B153" s="791"/>
      <c r="C153" s="433" t="s">
        <v>1056</v>
      </c>
      <c r="D153" s="500" t="s">
        <v>356</v>
      </c>
      <c r="E153" s="502" t="e">
        <f>Values!C353</f>
        <v>#N/A</v>
      </c>
      <c r="F153" s="448" t="str">
        <f>IF(Overrides!L$34=100,"#","d")</f>
        <v>d</v>
      </c>
      <c r="G153" s="502" t="e">
        <f>Values!D353</f>
        <v>#N/A</v>
      </c>
      <c r="H153" s="448" t="str">
        <f>IF(Overrides!O$34=100,"#","d")</f>
        <v>d</v>
      </c>
      <c r="I153" s="442" t="s">
        <v>1073</v>
      </c>
      <c r="J153" s="449"/>
    </row>
    <row r="154" spans="2:10" x14ac:dyDescent="0.25">
      <c r="B154" s="791"/>
      <c r="C154" s="433" t="s">
        <v>1057</v>
      </c>
      <c r="D154" s="500" t="s">
        <v>356</v>
      </c>
      <c r="E154" s="502" t="e">
        <f>Values!C354</f>
        <v>#N/A</v>
      </c>
      <c r="F154" s="448" t="str">
        <f>IF(Overrides!L$34=100,"#","d")</f>
        <v>d</v>
      </c>
      <c r="G154" s="502" t="e">
        <f>Values!D354</f>
        <v>#N/A</v>
      </c>
      <c r="H154" s="448" t="str">
        <f>IF(Overrides!O$34=100,"#","d")</f>
        <v>d</v>
      </c>
      <c r="I154" s="442" t="s">
        <v>1073</v>
      </c>
      <c r="J154" s="449"/>
    </row>
    <row r="155" spans="2:10" s="35" customFormat="1" x14ac:dyDescent="0.25">
      <c r="B155" s="785" t="s">
        <v>1145</v>
      </c>
      <c r="C155" s="475" t="s">
        <v>1107</v>
      </c>
      <c r="D155" s="177" t="s">
        <v>887</v>
      </c>
      <c r="E155" s="476" t="e">
        <f>Calculations!H34*Duration1</f>
        <v>#N/A</v>
      </c>
      <c r="F155" s="477" t="s">
        <v>1082</v>
      </c>
      <c r="G155" s="476" t="e">
        <f>Calculations!H90*Duration2</f>
        <v>#N/A</v>
      </c>
      <c r="H155" s="477" t="s">
        <v>1082</v>
      </c>
      <c r="I155" s="476" t="e">
        <f>E155+G155</f>
        <v>#N/A</v>
      </c>
      <c r="J155" s="477" t="s">
        <v>1082</v>
      </c>
    </row>
    <row r="156" spans="2:10" ht="15" customHeight="1" x14ac:dyDescent="0.25">
      <c r="B156" s="786"/>
      <c r="C156" s="527" t="s">
        <v>1079</v>
      </c>
      <c r="D156" s="528" t="s">
        <v>887</v>
      </c>
      <c r="E156" s="529" t="e">
        <f>Calculations!H35</f>
        <v>#N/A</v>
      </c>
      <c r="F156" s="477" t="s">
        <v>1082</v>
      </c>
      <c r="G156" s="529" t="e">
        <f>Calculations!H91</f>
        <v>#N/A</v>
      </c>
      <c r="H156" s="477" t="s">
        <v>1082</v>
      </c>
      <c r="I156" s="529" t="e">
        <f>E156+G156</f>
        <v>#N/A</v>
      </c>
      <c r="J156" s="477" t="s">
        <v>1082</v>
      </c>
    </row>
    <row r="157" spans="2:10" x14ac:dyDescent="0.25">
      <c r="B157" s="786"/>
      <c r="C157" s="475" t="str">
        <f>IF(OR(HoursWZ1=24,HoursWZ2=24),"12:00 AM","1 hour late")</f>
        <v>12:00 AM</v>
      </c>
      <c r="D157" s="177" t="s">
        <v>887</v>
      </c>
      <c r="E157" s="476" t="e">
        <f>IF(OR(HoursWZ1=24,HoursWZ2=24),Calculations!H10,Calculations!H36)</f>
        <v>#N/A</v>
      </c>
      <c r="F157" s="477" t="s">
        <v>1082</v>
      </c>
      <c r="G157" s="476" t="e">
        <f>IF(OR(HoursWZ1=24,HoursWZ2=24),Calculations!H66,Calculations!H92)</f>
        <v>#N/A</v>
      </c>
      <c r="H157" s="477" t="s">
        <v>1082</v>
      </c>
      <c r="I157" s="476" t="e">
        <f>IF(OR(E157="-",G157="-"),"-",E157+G157)</f>
        <v>#N/A</v>
      </c>
      <c r="J157" s="477" t="s">
        <v>1082</v>
      </c>
    </row>
    <row r="158" spans="2:10" x14ac:dyDescent="0.25">
      <c r="B158" s="786"/>
      <c r="C158" s="475" t="str">
        <f>IF(OR(HoursWZ1=24,HoursWZ2=24),"1:00 AM","2 hours late, cumulative")</f>
        <v>1:00 AM</v>
      </c>
      <c r="D158" s="177" t="s">
        <v>887</v>
      </c>
      <c r="E158" s="476" t="e">
        <f>IF(OR(HoursWZ1=24,HoursWZ2=24),Calculations!H11,Calculations!H37)</f>
        <v>#N/A</v>
      </c>
      <c r="F158" s="477" t="s">
        <v>1082</v>
      </c>
      <c r="G158" s="476" t="e">
        <f>IF(OR(HoursWZ1=24,HoursWZ2=24),Calculations!H67,Calculations!H93)</f>
        <v>#N/A</v>
      </c>
      <c r="H158" s="477" t="s">
        <v>1082</v>
      </c>
      <c r="I158" s="476" t="e">
        <f t="shared" ref="I158:I180" si="3">IF(OR(E158="-",G158="-"),"-",E158+G158)</f>
        <v>#N/A</v>
      </c>
      <c r="J158" s="477" t="s">
        <v>1082</v>
      </c>
    </row>
    <row r="159" spans="2:10" x14ac:dyDescent="0.25">
      <c r="B159" s="786"/>
      <c r="C159" s="475" t="str">
        <f>IF(OR(HoursWZ1=24,HoursWZ2=24),"2:00 AM","3 hours late, cumulative")</f>
        <v>2:00 AM</v>
      </c>
      <c r="D159" s="177" t="s">
        <v>887</v>
      </c>
      <c r="E159" s="476" t="e">
        <f>IF(OR(HoursWZ1=24,HoursWZ2=24),Calculations!H12,Calculations!H38)</f>
        <v>#N/A</v>
      </c>
      <c r="F159" s="477" t="s">
        <v>1082</v>
      </c>
      <c r="G159" s="476" t="e">
        <f>IF(OR(HoursWZ1=24,HoursWZ2=24),Calculations!H68,Calculations!H94)</f>
        <v>#N/A</v>
      </c>
      <c r="H159" s="477" t="s">
        <v>1082</v>
      </c>
      <c r="I159" s="476" t="e">
        <f t="shared" si="3"/>
        <v>#N/A</v>
      </c>
      <c r="J159" s="477" t="s">
        <v>1082</v>
      </c>
    </row>
    <row r="160" spans="2:10" x14ac:dyDescent="0.25">
      <c r="B160" s="786"/>
      <c r="C160" s="475" t="str">
        <f>IF(OR(HoursWZ1=24,HoursWZ2=24),"3:00 AM","4 hours late, cumulative")</f>
        <v>3:00 AM</v>
      </c>
      <c r="D160" s="177" t="s">
        <v>887</v>
      </c>
      <c r="E160" s="476" t="e">
        <f>IF(OR(HoursWZ1=24,HoursWZ2=24),Calculations!H13,Calculations!H39)</f>
        <v>#N/A</v>
      </c>
      <c r="F160" s="477" t="s">
        <v>1082</v>
      </c>
      <c r="G160" s="476" t="e">
        <f>IF(OR(HoursWZ1=24,HoursWZ2=24),Calculations!H69,Calculations!H95)</f>
        <v>#N/A</v>
      </c>
      <c r="H160" s="477" t="s">
        <v>1082</v>
      </c>
      <c r="I160" s="476" t="e">
        <f t="shared" si="3"/>
        <v>#N/A</v>
      </c>
      <c r="J160" s="477" t="s">
        <v>1082</v>
      </c>
    </row>
    <row r="161" spans="2:10" x14ac:dyDescent="0.25">
      <c r="B161" s="786"/>
      <c r="C161" s="475" t="str">
        <f>IF(OR(HoursWZ1=24,HoursWZ2=24),"4:00 AM","5 hours late, cumulative")</f>
        <v>4:00 AM</v>
      </c>
      <c r="D161" s="177" t="s">
        <v>887</v>
      </c>
      <c r="E161" s="476" t="e">
        <f>IF(OR(HoursWZ1=24,HoursWZ2=24),Calculations!H14,Calculations!H40)</f>
        <v>#N/A</v>
      </c>
      <c r="F161" s="477" t="s">
        <v>1082</v>
      </c>
      <c r="G161" s="476" t="e">
        <f>IF(OR(HoursWZ1=24,HoursWZ2=24),Calculations!H70,Calculations!H96)</f>
        <v>#N/A</v>
      </c>
      <c r="H161" s="477" t="s">
        <v>1082</v>
      </c>
      <c r="I161" s="476" t="e">
        <f t="shared" si="3"/>
        <v>#N/A</v>
      </c>
      <c r="J161" s="477" t="s">
        <v>1082</v>
      </c>
    </row>
    <row r="162" spans="2:10" x14ac:dyDescent="0.25">
      <c r="B162" s="786"/>
      <c r="C162" s="475" t="str">
        <f>IF(OR(HoursWZ1=24,HoursWZ2=24),"5:00 AM","6 hours late, cumulative")</f>
        <v>5:00 AM</v>
      </c>
      <c r="D162" s="177" t="s">
        <v>887</v>
      </c>
      <c r="E162" s="476" t="e">
        <f>IF(OR(HoursWZ1=24,HoursWZ2=24),Calculations!H15,Calculations!H41)</f>
        <v>#N/A</v>
      </c>
      <c r="F162" s="477" t="s">
        <v>1082</v>
      </c>
      <c r="G162" s="476" t="e">
        <f>IF(OR(HoursWZ1=24,HoursWZ2=24),Calculations!H71,Calculations!H97)</f>
        <v>#N/A</v>
      </c>
      <c r="H162" s="477" t="s">
        <v>1082</v>
      </c>
      <c r="I162" s="476" t="e">
        <f t="shared" si="3"/>
        <v>#N/A</v>
      </c>
      <c r="J162" s="477" t="s">
        <v>1082</v>
      </c>
    </row>
    <row r="163" spans="2:10" x14ac:dyDescent="0.25">
      <c r="B163" s="786"/>
      <c r="C163" s="475" t="str">
        <f>IF(OR(HoursWZ1=24,HoursWZ2=24),"6:00 AM","7 hours late, cumulative")</f>
        <v>6:00 AM</v>
      </c>
      <c r="D163" s="177" t="s">
        <v>887</v>
      </c>
      <c r="E163" s="476" t="e">
        <f>IF(OR(HoursWZ1=24,HoursWZ2=24),Calculations!H16,Calculations!H42)</f>
        <v>#N/A</v>
      </c>
      <c r="F163" s="477" t="s">
        <v>1082</v>
      </c>
      <c r="G163" s="476" t="e">
        <f>IF(OR(HoursWZ1=24,HoursWZ2=24),Calculations!H72,Calculations!H98)</f>
        <v>#N/A</v>
      </c>
      <c r="H163" s="477" t="s">
        <v>1082</v>
      </c>
      <c r="I163" s="476" t="e">
        <f t="shared" si="3"/>
        <v>#N/A</v>
      </c>
      <c r="J163" s="477" t="s">
        <v>1082</v>
      </c>
    </row>
    <row r="164" spans="2:10" x14ac:dyDescent="0.25">
      <c r="B164" s="786"/>
      <c r="C164" s="475" t="str">
        <f>IF(OR(HoursWZ1=24,HoursWZ2=24),"7:00 AM","8 hours late, cumulative")</f>
        <v>7:00 AM</v>
      </c>
      <c r="D164" s="177" t="s">
        <v>887</v>
      </c>
      <c r="E164" s="476" t="e">
        <f>IF(OR(HoursWZ1=24,HoursWZ2=24),Calculations!H17,Calculations!H43)</f>
        <v>#N/A</v>
      </c>
      <c r="F164" s="477" t="s">
        <v>1082</v>
      </c>
      <c r="G164" s="476" t="e">
        <f>IF(OR(HoursWZ1=24,HoursWZ2=24),Calculations!H73,Calculations!H99)</f>
        <v>#N/A</v>
      </c>
      <c r="H164" s="477" t="s">
        <v>1082</v>
      </c>
      <c r="I164" s="476" t="e">
        <f t="shared" si="3"/>
        <v>#N/A</v>
      </c>
      <c r="J164" s="477" t="s">
        <v>1082</v>
      </c>
    </row>
    <row r="165" spans="2:10" x14ac:dyDescent="0.25">
      <c r="B165" s="786"/>
      <c r="C165" s="475" t="str">
        <f>IF(OR(HoursWZ1=24,HoursWZ2=24),"8:00 AM","9 hours late, cumulative")</f>
        <v>8:00 AM</v>
      </c>
      <c r="D165" s="177" t="s">
        <v>887</v>
      </c>
      <c r="E165" s="476" t="e">
        <f>IF(OR(HoursWZ1=24,HoursWZ2=24),Calculations!H18,Calculations!H44)</f>
        <v>#N/A</v>
      </c>
      <c r="F165" s="477" t="s">
        <v>1082</v>
      </c>
      <c r="G165" s="476" t="e">
        <f>IF(OR(HoursWZ1=24,HoursWZ2=24),Calculations!H74,Calculations!H100)</f>
        <v>#N/A</v>
      </c>
      <c r="H165" s="477" t="s">
        <v>1082</v>
      </c>
      <c r="I165" s="476" t="e">
        <f t="shared" si="3"/>
        <v>#N/A</v>
      </c>
      <c r="J165" s="477" t="s">
        <v>1082</v>
      </c>
    </row>
    <row r="166" spans="2:10" x14ac:dyDescent="0.25">
      <c r="B166" s="786"/>
      <c r="C166" s="475" t="str">
        <f>IF(OR(HoursWZ1=24,HoursWZ2=24),"9:00 AM","10 hours late, cumulative")</f>
        <v>9:00 AM</v>
      </c>
      <c r="D166" s="177" t="s">
        <v>887</v>
      </c>
      <c r="E166" s="476" t="e">
        <f>IF(OR(HoursWZ1=24,HoursWZ2=24),Calculations!H19,Calculations!H45)</f>
        <v>#N/A</v>
      </c>
      <c r="F166" s="477" t="s">
        <v>1082</v>
      </c>
      <c r="G166" s="476" t="e">
        <f>IF(OR(HoursWZ1=24,HoursWZ2=24),Calculations!H75,Calculations!H101)</f>
        <v>#N/A</v>
      </c>
      <c r="H166" s="477" t="s">
        <v>1082</v>
      </c>
      <c r="I166" s="476" t="e">
        <f t="shared" si="3"/>
        <v>#N/A</v>
      </c>
      <c r="J166" s="477" t="s">
        <v>1082</v>
      </c>
    </row>
    <row r="167" spans="2:10" x14ac:dyDescent="0.25">
      <c r="B167" s="786"/>
      <c r="C167" s="475" t="str">
        <f>IF(OR(HoursWZ1=24,HoursWZ2=24),"10:00 AM","11 hours late, cumulative")</f>
        <v>10:00 AM</v>
      </c>
      <c r="D167" s="177" t="s">
        <v>887</v>
      </c>
      <c r="E167" s="476" t="e">
        <f>IF(OR(HoursWZ1=24,HoursWZ2=24),Calculations!H20,Calculations!H46)</f>
        <v>#N/A</v>
      </c>
      <c r="F167" s="477" t="s">
        <v>1082</v>
      </c>
      <c r="G167" s="476" t="e">
        <f>IF(OR(HoursWZ1=24,HoursWZ2=24),Calculations!H76,Calculations!H102)</f>
        <v>#N/A</v>
      </c>
      <c r="H167" s="477" t="s">
        <v>1082</v>
      </c>
      <c r="I167" s="476" t="e">
        <f t="shared" si="3"/>
        <v>#N/A</v>
      </c>
      <c r="J167" s="477" t="s">
        <v>1082</v>
      </c>
    </row>
    <row r="168" spans="2:10" x14ac:dyDescent="0.25">
      <c r="B168" s="786"/>
      <c r="C168" s="475" t="str">
        <f>IF(OR(HoursWZ1=24,HoursWZ2=24),"11:00 AM","12 hours late, cumulative")</f>
        <v>11:00 AM</v>
      </c>
      <c r="D168" s="177" t="s">
        <v>887</v>
      </c>
      <c r="E168" s="476" t="e">
        <f>IF(OR(HoursWZ1=24,HoursWZ2=24),Calculations!H21,Calculations!H47)</f>
        <v>#N/A</v>
      </c>
      <c r="F168" s="477" t="s">
        <v>1082</v>
      </c>
      <c r="G168" s="476" t="e">
        <f>IF(OR(HoursWZ1=24,HoursWZ2=24),Calculations!H77,Calculations!H103)</f>
        <v>#N/A</v>
      </c>
      <c r="H168" s="477" t="s">
        <v>1082</v>
      </c>
      <c r="I168" s="476" t="e">
        <f t="shared" si="3"/>
        <v>#N/A</v>
      </c>
      <c r="J168" s="477" t="s">
        <v>1082</v>
      </c>
    </row>
    <row r="169" spans="2:10" x14ac:dyDescent="0.25">
      <c r="B169" s="786"/>
      <c r="C169" s="475" t="str">
        <f>IF(OR(HoursWZ1=24,HoursWZ2=24),"12:00 PM","13 hours late, cumulative")</f>
        <v>12:00 PM</v>
      </c>
      <c r="D169" s="177" t="s">
        <v>887</v>
      </c>
      <c r="E169" s="476" t="e">
        <f>IF(OR(HoursWZ1=24,HoursWZ2=24),Calculations!H22,Calculations!H48)</f>
        <v>#N/A</v>
      </c>
      <c r="F169" s="477" t="s">
        <v>1082</v>
      </c>
      <c r="G169" s="476" t="e">
        <f>IF(OR(HoursWZ1=24,HoursWZ2=24),Calculations!H78,Calculations!H104)</f>
        <v>#N/A</v>
      </c>
      <c r="H169" s="477" t="s">
        <v>1082</v>
      </c>
      <c r="I169" s="476" t="e">
        <f t="shared" si="3"/>
        <v>#N/A</v>
      </c>
      <c r="J169" s="477" t="s">
        <v>1082</v>
      </c>
    </row>
    <row r="170" spans="2:10" x14ac:dyDescent="0.25">
      <c r="B170" s="786"/>
      <c r="C170" s="475" t="str">
        <f>IF(OR(HoursWZ1=24,HoursWZ2=24),"1:00 PM","14 hours late, cumulative")</f>
        <v>1:00 PM</v>
      </c>
      <c r="D170" s="177" t="s">
        <v>887</v>
      </c>
      <c r="E170" s="476" t="e">
        <f>IF(OR(HoursWZ1=24,HoursWZ2=24),Calculations!H23,Calculations!H49)</f>
        <v>#N/A</v>
      </c>
      <c r="F170" s="477" t="s">
        <v>1082</v>
      </c>
      <c r="G170" s="476" t="e">
        <f>IF(OR(HoursWZ1=24,HoursWZ2=24),Calculations!H79,Calculations!H105)</f>
        <v>#N/A</v>
      </c>
      <c r="H170" s="477" t="s">
        <v>1082</v>
      </c>
      <c r="I170" s="476" t="e">
        <f t="shared" si="3"/>
        <v>#N/A</v>
      </c>
      <c r="J170" s="477" t="s">
        <v>1082</v>
      </c>
    </row>
    <row r="171" spans="2:10" x14ac:dyDescent="0.25">
      <c r="B171" s="786"/>
      <c r="C171" s="475" t="str">
        <f>IF(OR(HoursWZ1=24,HoursWZ2=24),"2:00 PM","15 hours late, cumulative")</f>
        <v>2:00 PM</v>
      </c>
      <c r="D171" s="177" t="s">
        <v>887</v>
      </c>
      <c r="E171" s="476" t="e">
        <f>IF(OR(HoursWZ1=24,HoursWZ2=24),Calculations!H24,Calculations!H50)</f>
        <v>#N/A</v>
      </c>
      <c r="F171" s="477" t="s">
        <v>1082</v>
      </c>
      <c r="G171" s="476" t="e">
        <f>IF(OR(HoursWZ1=24,HoursWZ2=24),Calculations!H80,Calculations!H106)</f>
        <v>#N/A</v>
      </c>
      <c r="H171" s="477" t="s">
        <v>1082</v>
      </c>
      <c r="I171" s="476" t="e">
        <f t="shared" si="3"/>
        <v>#N/A</v>
      </c>
      <c r="J171" s="477" t="s">
        <v>1082</v>
      </c>
    </row>
    <row r="172" spans="2:10" x14ac:dyDescent="0.25">
      <c r="B172" s="786"/>
      <c r="C172" s="475" t="str">
        <f>IF(OR(HoursWZ1=24,HoursWZ2=24),"3:00 PM","16 hours late, cumulative")</f>
        <v>3:00 PM</v>
      </c>
      <c r="D172" s="177" t="s">
        <v>887</v>
      </c>
      <c r="E172" s="476" t="e">
        <f>IF(OR(HoursWZ1=24,HoursWZ2=24),Calculations!H25,Calculations!H51)</f>
        <v>#N/A</v>
      </c>
      <c r="F172" s="477" t="s">
        <v>1082</v>
      </c>
      <c r="G172" s="476" t="e">
        <f>IF(OR(HoursWZ1=24,HoursWZ2=24),Calculations!H81,Calculations!H107)</f>
        <v>#N/A</v>
      </c>
      <c r="H172" s="477" t="s">
        <v>1082</v>
      </c>
      <c r="I172" s="476" t="e">
        <f t="shared" si="3"/>
        <v>#N/A</v>
      </c>
      <c r="J172" s="477" t="s">
        <v>1082</v>
      </c>
    </row>
    <row r="173" spans="2:10" x14ac:dyDescent="0.25">
      <c r="B173" s="786"/>
      <c r="C173" s="475" t="str">
        <f>IF(OR(HoursWZ1=24,HoursWZ2=24),"4:00 PM","17 hours late, cumulative")</f>
        <v>4:00 PM</v>
      </c>
      <c r="D173" s="177" t="s">
        <v>887</v>
      </c>
      <c r="E173" s="476" t="e">
        <f>IF(OR(HoursWZ1=24,HoursWZ2=24),Calculations!H26,Calculations!H52)</f>
        <v>#N/A</v>
      </c>
      <c r="F173" s="477" t="s">
        <v>1082</v>
      </c>
      <c r="G173" s="476" t="e">
        <f>IF(OR(HoursWZ1=24,HoursWZ2=24),Calculations!H82,Calculations!H108)</f>
        <v>#N/A</v>
      </c>
      <c r="H173" s="477" t="s">
        <v>1082</v>
      </c>
      <c r="I173" s="476" t="e">
        <f t="shared" si="3"/>
        <v>#N/A</v>
      </c>
      <c r="J173" s="477" t="s">
        <v>1082</v>
      </c>
    </row>
    <row r="174" spans="2:10" x14ac:dyDescent="0.25">
      <c r="B174" s="786"/>
      <c r="C174" s="475" t="str">
        <f>IF(OR(HoursWZ1=24,HoursWZ2=24),"5:00 PM","18 hours late, cumulative")</f>
        <v>5:00 PM</v>
      </c>
      <c r="D174" s="177" t="s">
        <v>887</v>
      </c>
      <c r="E174" s="476" t="e">
        <f>IF(OR(HoursWZ1=24,HoursWZ2=24),Calculations!H27,Calculations!H53)</f>
        <v>#N/A</v>
      </c>
      <c r="F174" s="477" t="s">
        <v>1082</v>
      </c>
      <c r="G174" s="476" t="e">
        <f>IF(OR(HoursWZ1=24,HoursWZ2=24),Calculations!H83,Calculations!H109)</f>
        <v>#N/A</v>
      </c>
      <c r="H174" s="477" t="s">
        <v>1082</v>
      </c>
      <c r="I174" s="476" t="e">
        <f t="shared" si="3"/>
        <v>#N/A</v>
      </c>
      <c r="J174" s="477" t="s">
        <v>1082</v>
      </c>
    </row>
    <row r="175" spans="2:10" x14ac:dyDescent="0.25">
      <c r="B175" s="786"/>
      <c r="C175" s="475" t="str">
        <f>IF(OR(HoursWZ1=24,HoursWZ2=24),"6:00 PM","19 hours late, cumulative")</f>
        <v>6:00 PM</v>
      </c>
      <c r="D175" s="177" t="s">
        <v>887</v>
      </c>
      <c r="E175" s="476" t="e">
        <f>IF(OR(HoursWZ1=24,HoursWZ2=24),Calculations!H28,Calculations!H54)</f>
        <v>#N/A</v>
      </c>
      <c r="F175" s="477" t="s">
        <v>1082</v>
      </c>
      <c r="G175" s="476" t="e">
        <f>IF(OR(HoursWZ1=24,HoursWZ2=24),Calculations!H84,Calculations!H110)</f>
        <v>#N/A</v>
      </c>
      <c r="H175" s="477" t="s">
        <v>1082</v>
      </c>
      <c r="I175" s="476" t="e">
        <f t="shared" si="3"/>
        <v>#N/A</v>
      </c>
      <c r="J175" s="477" t="s">
        <v>1082</v>
      </c>
    </row>
    <row r="176" spans="2:10" x14ac:dyDescent="0.25">
      <c r="B176" s="786"/>
      <c r="C176" s="475" t="str">
        <f>IF(OR(HoursWZ1=24,HoursWZ2=24),"7:00 PM","20 hours late, cumulative")</f>
        <v>7:00 PM</v>
      </c>
      <c r="D176" s="177" t="s">
        <v>887</v>
      </c>
      <c r="E176" s="476" t="e">
        <f>IF(OR(HoursWZ1=24,HoursWZ2=24),Calculations!H29,Calculations!H55)</f>
        <v>#N/A</v>
      </c>
      <c r="F176" s="477" t="s">
        <v>1082</v>
      </c>
      <c r="G176" s="476" t="e">
        <f>IF(OR(HoursWZ1=24,HoursWZ2=24),Calculations!H85,Calculations!H111)</f>
        <v>#N/A</v>
      </c>
      <c r="H176" s="477" t="s">
        <v>1082</v>
      </c>
      <c r="I176" s="476" t="e">
        <f t="shared" si="3"/>
        <v>#N/A</v>
      </c>
      <c r="J176" s="477" t="s">
        <v>1082</v>
      </c>
    </row>
    <row r="177" spans="2:10" x14ac:dyDescent="0.25">
      <c r="B177" s="786"/>
      <c r="C177" s="475" t="str">
        <f>IF(OR(HoursWZ1=24,HoursWZ2=24),"8:00 PM","21 hours late, cumulative")</f>
        <v>8:00 PM</v>
      </c>
      <c r="D177" s="177" t="s">
        <v>887</v>
      </c>
      <c r="E177" s="476" t="e">
        <f>IF(OR(HoursWZ1=24,HoursWZ2=24),Calculations!H30,Calculations!H56)</f>
        <v>#N/A</v>
      </c>
      <c r="F177" s="477" t="s">
        <v>1082</v>
      </c>
      <c r="G177" s="476" t="e">
        <f>IF(OR(HoursWZ1=24,HoursWZ2=24),Calculations!H86,Calculations!H112)</f>
        <v>#N/A</v>
      </c>
      <c r="H177" s="477" t="s">
        <v>1082</v>
      </c>
      <c r="I177" s="476" t="e">
        <f t="shared" si="3"/>
        <v>#N/A</v>
      </c>
      <c r="J177" s="477" t="s">
        <v>1082</v>
      </c>
    </row>
    <row r="178" spans="2:10" x14ac:dyDescent="0.25">
      <c r="B178" s="786"/>
      <c r="C178" s="475" t="str">
        <f>IF(OR(HoursWZ1=24,HoursWZ2=24),"9:00 PM","22 hours late, cumulative")</f>
        <v>9:00 PM</v>
      </c>
      <c r="D178" s="177" t="s">
        <v>887</v>
      </c>
      <c r="E178" s="476" t="e">
        <f>IF(OR(HoursWZ1=24,HoursWZ2=24),Calculations!H31,Calculations!H57)</f>
        <v>#N/A</v>
      </c>
      <c r="F178" s="477" t="s">
        <v>1082</v>
      </c>
      <c r="G178" s="476" t="e">
        <f>IF(OR(HoursWZ1=24,HoursWZ2=24),Calculations!H87,Calculations!H113)</f>
        <v>#N/A</v>
      </c>
      <c r="H178" s="477" t="s">
        <v>1082</v>
      </c>
      <c r="I178" s="476" t="e">
        <f t="shared" si="3"/>
        <v>#N/A</v>
      </c>
      <c r="J178" s="477" t="s">
        <v>1082</v>
      </c>
    </row>
    <row r="179" spans="2:10" x14ac:dyDescent="0.25">
      <c r="B179" s="786"/>
      <c r="C179" s="475" t="str">
        <f>IF(OR(HoursWZ1=24,HoursWZ2=24),"10:00 PM","23 hours late, cumulative")</f>
        <v>10:00 PM</v>
      </c>
      <c r="D179" s="177" t="s">
        <v>887</v>
      </c>
      <c r="E179" s="476" t="e">
        <f>IF(OR(HoursWZ1=24,HoursWZ2=24),Calculations!H32,Calculations!H58)</f>
        <v>#N/A</v>
      </c>
      <c r="F179" s="477" t="s">
        <v>1082</v>
      </c>
      <c r="G179" s="476" t="e">
        <f>IF(OR(HoursWZ1=24,HoursWZ2=24),Calculations!H88,Calculations!H114)</f>
        <v>#N/A</v>
      </c>
      <c r="H179" s="477" t="s">
        <v>1082</v>
      </c>
      <c r="I179" s="476" t="e">
        <f t="shared" si="3"/>
        <v>#N/A</v>
      </c>
      <c r="J179" s="477" t="s">
        <v>1082</v>
      </c>
    </row>
    <row r="180" spans="2:10" x14ac:dyDescent="0.25">
      <c r="B180" s="787"/>
      <c r="C180" s="475" t="str">
        <f>IF(OR(HoursWZ1=24,HoursWZ2=24),"11:00 PM","One Full Day, cumulative")</f>
        <v>11:00 PM</v>
      </c>
      <c r="D180" s="177" t="s">
        <v>887</v>
      </c>
      <c r="E180" s="476" t="e">
        <f>IF(OR(HoursWZ1=24,HoursWZ2=24),Calculations!H33,Calculations!H59)</f>
        <v>#N/A</v>
      </c>
      <c r="F180" s="477" t="s">
        <v>1082</v>
      </c>
      <c r="G180" s="476" t="e">
        <f>IF(OR(HoursWZ1=24,HoursWZ2=24),Calculations!H89,Calculations!H115)</f>
        <v>#N/A</v>
      </c>
      <c r="H180" s="477" t="s">
        <v>1082</v>
      </c>
      <c r="I180" s="476" t="e">
        <f t="shared" si="3"/>
        <v>#N/A</v>
      </c>
      <c r="J180" s="477" t="s">
        <v>1082</v>
      </c>
    </row>
    <row r="181" spans="2:10" x14ac:dyDescent="0.25">
      <c r="B181" s="808" t="s">
        <v>1146</v>
      </c>
      <c r="C181" s="433" t="s">
        <v>1107</v>
      </c>
      <c r="D181" s="500" t="s">
        <v>887</v>
      </c>
      <c r="E181" s="534" t="e">
        <f>(Calculations!M34+Calculations!R34+Calculations!W34)*Duration1</f>
        <v>#N/A</v>
      </c>
      <c r="F181" s="448" t="s">
        <v>1082</v>
      </c>
      <c r="G181" s="534" t="e">
        <f>(Calculations!M90+Calculations!R90+Calculations!W90)*Duration2</f>
        <v>#N/A</v>
      </c>
      <c r="H181" s="448" t="s">
        <v>1082</v>
      </c>
      <c r="I181" s="534" t="e">
        <f>E181+G181</f>
        <v>#N/A</v>
      </c>
      <c r="J181" s="448" t="s">
        <v>1082</v>
      </c>
    </row>
    <row r="182" spans="2:10" x14ac:dyDescent="0.25">
      <c r="B182" s="809"/>
      <c r="C182" s="538" t="s">
        <v>1079</v>
      </c>
      <c r="D182" s="539" t="s">
        <v>887</v>
      </c>
      <c r="E182" s="540" t="e">
        <f>(Calculations!M35+Calculations!R35+Calculations!W35)</f>
        <v>#N/A</v>
      </c>
      <c r="F182" s="448" t="s">
        <v>1082</v>
      </c>
      <c r="G182" s="540" t="e">
        <f>(Calculations!M91+Calculations!R91+Calculations!W91)</f>
        <v>#N/A</v>
      </c>
      <c r="H182" s="448" t="s">
        <v>1082</v>
      </c>
      <c r="I182" s="540" t="e">
        <f>E182+G182</f>
        <v>#N/A</v>
      </c>
      <c r="J182" s="448" t="s">
        <v>1082</v>
      </c>
    </row>
    <row r="183" spans="2:10" x14ac:dyDescent="0.25">
      <c r="B183" s="809"/>
      <c r="C183" s="433" t="str">
        <f>IF(OR(HoursWZ1=24,HoursWZ2=24),"12:00 AM","1 hour late")</f>
        <v>12:00 AM</v>
      </c>
      <c r="D183" s="500" t="s">
        <v>887</v>
      </c>
      <c r="E183" s="534" t="e">
        <f>IF(OR(HoursWZ1=24,HoursWZ2=24),(Calculations!M10+Calculations!R10+Calculations!W10),IF(Calculations!M36="-","-",(Calculations!M36+Calculations!R36+Calculations!W36)))</f>
        <v>#N/A</v>
      </c>
      <c r="F183" s="448" t="s">
        <v>1082</v>
      </c>
      <c r="G183" s="534" t="e">
        <f>IF(OR(HoursWZ1=24,HoursWZ2=24),(Calculations!M66+Calculations!R66+Calculations!W66),IF(Calculations!M92="-","-",(Calculations!M92+Calculations!R92+Calculations!W92)))</f>
        <v>#N/A</v>
      </c>
      <c r="H183" s="448" t="s">
        <v>1082</v>
      </c>
      <c r="I183" s="541" t="e">
        <f t="shared" ref="I183:I206" si="4">IF(OR(E183="-",G183="-"),"-",E183+G183)</f>
        <v>#N/A</v>
      </c>
      <c r="J183" s="448" t="s">
        <v>1082</v>
      </c>
    </row>
    <row r="184" spans="2:10" x14ac:dyDescent="0.25">
      <c r="B184" s="809"/>
      <c r="C184" s="433" t="str">
        <f>IF(OR(HoursWZ1=24,HoursWZ2=24),"1:00 AM","2 hours late, cumulative")</f>
        <v>1:00 AM</v>
      </c>
      <c r="D184" s="500" t="s">
        <v>887</v>
      </c>
      <c r="E184" s="552" t="e">
        <f>IF(OR(HoursWZ1=24,HoursWZ2=24),(Calculations!M11+Calculations!R11+Calculations!W11),IF(Calculations!M37="-","-",(Calculations!M37+Calculations!R37+Calculations!W37)))</f>
        <v>#N/A</v>
      </c>
      <c r="F184" s="448" t="s">
        <v>1082</v>
      </c>
      <c r="G184" s="552" t="e">
        <f>IF(OR(HoursWZ1=24,HoursWZ2=24),(Calculations!M67+Calculations!R67+Calculations!W67),IF(Calculations!M93="-","-",(Calculations!M93+Calculations!R93+Calculations!W93)))</f>
        <v>#N/A</v>
      </c>
      <c r="H184" s="448" t="s">
        <v>1082</v>
      </c>
      <c r="I184" s="541" t="e">
        <f t="shared" si="4"/>
        <v>#N/A</v>
      </c>
      <c r="J184" s="448" t="s">
        <v>1082</v>
      </c>
    </row>
    <row r="185" spans="2:10" x14ac:dyDescent="0.25">
      <c r="B185" s="809"/>
      <c r="C185" s="433" t="str">
        <f>IF(OR(HoursWZ1=24,HoursWZ2=24),"2:00 AM","3 hours late, cumulative")</f>
        <v>2:00 AM</v>
      </c>
      <c r="D185" s="500" t="s">
        <v>887</v>
      </c>
      <c r="E185" s="552" t="e">
        <f>IF(OR(HoursWZ1=24,HoursWZ2=24),(Calculations!M12+Calculations!R12+Calculations!W12),IF(Calculations!M38="-","-",(Calculations!M38+Calculations!R38+Calculations!W38)))</f>
        <v>#N/A</v>
      </c>
      <c r="F185" s="448" t="s">
        <v>1082</v>
      </c>
      <c r="G185" s="552" t="e">
        <f>IF(OR(HoursWZ1=24,HoursWZ2=24),(Calculations!M68+Calculations!R68+Calculations!W68),IF(Calculations!M94="-","-",(Calculations!M94+Calculations!R94+Calculations!W94)))</f>
        <v>#N/A</v>
      </c>
      <c r="H185" s="448" t="s">
        <v>1082</v>
      </c>
      <c r="I185" s="541" t="e">
        <f t="shared" si="4"/>
        <v>#N/A</v>
      </c>
      <c r="J185" s="448" t="s">
        <v>1082</v>
      </c>
    </row>
    <row r="186" spans="2:10" x14ac:dyDescent="0.25">
      <c r="B186" s="809"/>
      <c r="C186" s="433" t="str">
        <f>IF(OR(HoursWZ1=24,HoursWZ2=24),"3:00 AM","4 hours late, cumulative")</f>
        <v>3:00 AM</v>
      </c>
      <c r="D186" s="500" t="s">
        <v>887</v>
      </c>
      <c r="E186" s="552" t="e">
        <f>IF(OR(HoursWZ1=24,HoursWZ2=24),(Calculations!M13+Calculations!R13+Calculations!W13),IF(Calculations!M39="-","-",(Calculations!M39+Calculations!R39+Calculations!W39)))</f>
        <v>#N/A</v>
      </c>
      <c r="F186" s="448" t="s">
        <v>1082</v>
      </c>
      <c r="G186" s="552" t="e">
        <f>IF(OR(HoursWZ1=24,HoursWZ2=24),(Calculations!M69+Calculations!R69+Calculations!W69),IF(Calculations!M95="-","-",(Calculations!M95+Calculations!R95+Calculations!W95)))</f>
        <v>#N/A</v>
      </c>
      <c r="H186" s="448" t="s">
        <v>1082</v>
      </c>
      <c r="I186" s="541" t="e">
        <f t="shared" si="4"/>
        <v>#N/A</v>
      </c>
      <c r="J186" s="448" t="s">
        <v>1082</v>
      </c>
    </row>
    <row r="187" spans="2:10" x14ac:dyDescent="0.25">
      <c r="B187" s="809"/>
      <c r="C187" s="433" t="str">
        <f>IF(OR(HoursWZ1=24,HoursWZ2=24),"4:00 AM","5 hours late, cumulative")</f>
        <v>4:00 AM</v>
      </c>
      <c r="D187" s="500" t="s">
        <v>887</v>
      </c>
      <c r="E187" s="552" t="e">
        <f>IF(OR(HoursWZ1=24,HoursWZ2=24),(Calculations!M14+Calculations!R14+Calculations!W14),IF(Calculations!M40="-","-",(Calculations!M40+Calculations!R40+Calculations!W40)))</f>
        <v>#N/A</v>
      </c>
      <c r="F187" s="448" t="s">
        <v>1082</v>
      </c>
      <c r="G187" s="552" t="e">
        <f>IF(OR(HoursWZ1=24,HoursWZ2=24),(Calculations!M70+Calculations!R70+Calculations!W70),IF(Calculations!M96="-","-",(Calculations!M96+Calculations!R96+Calculations!W96)))</f>
        <v>#N/A</v>
      </c>
      <c r="H187" s="448" t="s">
        <v>1082</v>
      </c>
      <c r="I187" s="541" t="e">
        <f t="shared" si="4"/>
        <v>#N/A</v>
      </c>
      <c r="J187" s="448" t="s">
        <v>1082</v>
      </c>
    </row>
    <row r="188" spans="2:10" x14ac:dyDescent="0.25">
      <c r="B188" s="809"/>
      <c r="C188" s="433" t="str">
        <f>IF(OR(HoursWZ1=24,HoursWZ2=24),"5:00 AM","6 hours late, cumulative")</f>
        <v>5:00 AM</v>
      </c>
      <c r="D188" s="500" t="s">
        <v>887</v>
      </c>
      <c r="E188" s="552" t="e">
        <f>IF(OR(HoursWZ1=24,HoursWZ2=24),(Calculations!M15+Calculations!R15+Calculations!W15),IF(Calculations!M41="-","-",(Calculations!M41+Calculations!R41+Calculations!W41)))</f>
        <v>#N/A</v>
      </c>
      <c r="F188" s="448" t="s">
        <v>1082</v>
      </c>
      <c r="G188" s="552" t="e">
        <f>IF(OR(HoursWZ1=24,HoursWZ2=24),(Calculations!M71+Calculations!R71+Calculations!W71),IF(Calculations!M97="-","-",(Calculations!M97+Calculations!R97+Calculations!W97)))</f>
        <v>#N/A</v>
      </c>
      <c r="H188" s="448" t="s">
        <v>1082</v>
      </c>
      <c r="I188" s="541" t="e">
        <f t="shared" si="4"/>
        <v>#N/A</v>
      </c>
      <c r="J188" s="448" t="s">
        <v>1082</v>
      </c>
    </row>
    <row r="189" spans="2:10" x14ac:dyDescent="0.25">
      <c r="B189" s="809"/>
      <c r="C189" s="433" t="str">
        <f>IF(OR(HoursWZ1=24,HoursWZ2=24),"6:00 AM","7 hours late, cumulative")</f>
        <v>6:00 AM</v>
      </c>
      <c r="D189" s="500" t="s">
        <v>887</v>
      </c>
      <c r="E189" s="552" t="e">
        <f>IF(OR(HoursWZ1=24,HoursWZ2=24),(Calculations!M16+Calculations!R16+Calculations!W16),IF(Calculations!M42="-","-",(Calculations!M42+Calculations!R42+Calculations!W42)))</f>
        <v>#N/A</v>
      </c>
      <c r="F189" s="448" t="s">
        <v>1082</v>
      </c>
      <c r="G189" s="552" t="e">
        <f>IF(OR(HoursWZ1=24,HoursWZ2=24),(Calculations!M72+Calculations!R72+Calculations!W72),IF(Calculations!M98="-","-",(Calculations!M98+Calculations!R98+Calculations!W98)))</f>
        <v>#N/A</v>
      </c>
      <c r="H189" s="448" t="s">
        <v>1082</v>
      </c>
      <c r="I189" s="541" t="e">
        <f t="shared" si="4"/>
        <v>#N/A</v>
      </c>
      <c r="J189" s="448" t="s">
        <v>1082</v>
      </c>
    </row>
    <row r="190" spans="2:10" x14ac:dyDescent="0.25">
      <c r="B190" s="809"/>
      <c r="C190" s="433" t="str">
        <f>IF(OR(HoursWZ1=24,HoursWZ2=24),"7:00 AM","8 hours late, cumulative")</f>
        <v>7:00 AM</v>
      </c>
      <c r="D190" s="500" t="s">
        <v>887</v>
      </c>
      <c r="E190" s="552" t="e">
        <f>IF(OR(HoursWZ1=24,HoursWZ2=24),(Calculations!M17+Calculations!R17+Calculations!W17),IF(Calculations!M43="-","-",(Calculations!M43+Calculations!R43+Calculations!W43)))</f>
        <v>#N/A</v>
      </c>
      <c r="F190" s="448" t="s">
        <v>1082</v>
      </c>
      <c r="G190" s="552" t="e">
        <f>IF(OR(HoursWZ1=24,HoursWZ2=24),(Calculations!M73+Calculations!R73+Calculations!W73),IF(Calculations!M99="-","-",(Calculations!M99+Calculations!R99+Calculations!W99)))</f>
        <v>#N/A</v>
      </c>
      <c r="H190" s="448" t="s">
        <v>1082</v>
      </c>
      <c r="I190" s="541" t="e">
        <f t="shared" si="4"/>
        <v>#N/A</v>
      </c>
      <c r="J190" s="448" t="s">
        <v>1082</v>
      </c>
    </row>
    <row r="191" spans="2:10" x14ac:dyDescent="0.25">
      <c r="B191" s="809"/>
      <c r="C191" s="433" t="str">
        <f>IF(OR(HoursWZ1=24,HoursWZ2=24),"8:00 AM","9 hours late, cumulative")</f>
        <v>8:00 AM</v>
      </c>
      <c r="D191" s="500" t="s">
        <v>887</v>
      </c>
      <c r="E191" s="552" t="e">
        <f>IF(OR(HoursWZ1=24,HoursWZ2=24),(Calculations!M18+Calculations!R18+Calculations!W18),IF(Calculations!M44="-","-",(Calculations!M44+Calculations!R44+Calculations!W44)))</f>
        <v>#N/A</v>
      </c>
      <c r="F191" s="448" t="s">
        <v>1082</v>
      </c>
      <c r="G191" s="552" t="e">
        <f>IF(OR(HoursWZ1=24,HoursWZ2=24),(Calculations!M74+Calculations!R74+Calculations!W74),IF(Calculations!M100="-","-",(Calculations!M100+Calculations!R100+Calculations!W100)))</f>
        <v>#N/A</v>
      </c>
      <c r="H191" s="448" t="s">
        <v>1082</v>
      </c>
      <c r="I191" s="541" t="e">
        <f t="shared" si="4"/>
        <v>#N/A</v>
      </c>
      <c r="J191" s="448" t="s">
        <v>1082</v>
      </c>
    </row>
    <row r="192" spans="2:10" x14ac:dyDescent="0.25">
      <c r="B192" s="809"/>
      <c r="C192" s="433" t="str">
        <f>IF(OR(HoursWZ1=24,HoursWZ2=24),"9:00 AM","10 hours late, cumulative")</f>
        <v>9:00 AM</v>
      </c>
      <c r="D192" s="500" t="s">
        <v>887</v>
      </c>
      <c r="E192" s="552" t="e">
        <f>IF(OR(HoursWZ1=24,HoursWZ2=24),(Calculations!M19+Calculations!R19+Calculations!W19),IF(Calculations!M45="-","-",(Calculations!M45+Calculations!R45+Calculations!W45)))</f>
        <v>#N/A</v>
      </c>
      <c r="F192" s="448" t="s">
        <v>1082</v>
      </c>
      <c r="G192" s="552" t="e">
        <f>IF(OR(HoursWZ1=24,HoursWZ2=24),(Calculations!M75+Calculations!R75+Calculations!W75),IF(Calculations!M101="-","-",(Calculations!M101+Calculations!R101+Calculations!W101)))</f>
        <v>#N/A</v>
      </c>
      <c r="H192" s="448" t="s">
        <v>1082</v>
      </c>
      <c r="I192" s="541" t="e">
        <f t="shared" si="4"/>
        <v>#N/A</v>
      </c>
      <c r="J192" s="448" t="s">
        <v>1082</v>
      </c>
    </row>
    <row r="193" spans="2:10" x14ac:dyDescent="0.25">
      <c r="B193" s="809"/>
      <c r="C193" s="433" t="str">
        <f>IF(OR(HoursWZ1=24,HoursWZ2=24),"10:00 AM","11 hours late, cumulative")</f>
        <v>10:00 AM</v>
      </c>
      <c r="D193" s="500" t="s">
        <v>887</v>
      </c>
      <c r="E193" s="552" t="e">
        <f>IF(OR(HoursWZ1=24,HoursWZ2=24),(Calculations!M20+Calculations!R20+Calculations!W20),IF(Calculations!M46="-","-",(Calculations!M46+Calculations!R46+Calculations!W46)))</f>
        <v>#N/A</v>
      </c>
      <c r="F193" s="448" t="s">
        <v>1082</v>
      </c>
      <c r="G193" s="552" t="e">
        <f>IF(OR(HoursWZ1=24,HoursWZ2=24),(Calculations!M76+Calculations!R76+Calculations!W76),IF(Calculations!M102="-","-",(Calculations!M102+Calculations!R102+Calculations!W102)))</f>
        <v>#N/A</v>
      </c>
      <c r="H193" s="448" t="s">
        <v>1082</v>
      </c>
      <c r="I193" s="541" t="e">
        <f t="shared" si="4"/>
        <v>#N/A</v>
      </c>
      <c r="J193" s="448" t="s">
        <v>1082</v>
      </c>
    </row>
    <row r="194" spans="2:10" x14ac:dyDescent="0.25">
      <c r="B194" s="809"/>
      <c r="C194" s="433" t="str">
        <f>IF(OR(HoursWZ1=24,HoursWZ2=24),"11:00 AM","12 hours late, cumulative")</f>
        <v>11:00 AM</v>
      </c>
      <c r="D194" s="500" t="s">
        <v>887</v>
      </c>
      <c r="E194" s="552" t="e">
        <f>IF(OR(HoursWZ1=24,HoursWZ2=24),(Calculations!M21+Calculations!R21+Calculations!W21),IF(Calculations!M47="-","-",(Calculations!M47+Calculations!R47+Calculations!W47)))</f>
        <v>#N/A</v>
      </c>
      <c r="F194" s="448" t="s">
        <v>1082</v>
      </c>
      <c r="G194" s="552" t="e">
        <f>IF(OR(HoursWZ1=24,HoursWZ2=24),(Calculations!M77+Calculations!R77+Calculations!W77),IF(Calculations!M103="-","-",(Calculations!M103+Calculations!R103+Calculations!W103)))</f>
        <v>#N/A</v>
      </c>
      <c r="H194" s="448" t="s">
        <v>1082</v>
      </c>
      <c r="I194" s="541" t="e">
        <f t="shared" si="4"/>
        <v>#N/A</v>
      </c>
      <c r="J194" s="448" t="s">
        <v>1082</v>
      </c>
    </row>
    <row r="195" spans="2:10" x14ac:dyDescent="0.25">
      <c r="B195" s="809"/>
      <c r="C195" s="433" t="str">
        <f>IF(OR(HoursWZ1=24,HoursWZ2=24),"12:00 PM","13 hours late, cumulative")</f>
        <v>12:00 PM</v>
      </c>
      <c r="D195" s="500" t="s">
        <v>887</v>
      </c>
      <c r="E195" s="552" t="e">
        <f>IF(OR(HoursWZ1=24,HoursWZ2=24),(Calculations!M22+Calculations!R22+Calculations!W22),IF(Calculations!M48="-","-",(Calculations!M48+Calculations!R48+Calculations!W48)))</f>
        <v>#N/A</v>
      </c>
      <c r="F195" s="448" t="s">
        <v>1082</v>
      </c>
      <c r="G195" s="552" t="e">
        <f>IF(OR(HoursWZ1=24,HoursWZ2=24),(Calculations!M78+Calculations!R78+Calculations!W78),IF(Calculations!M104="-","-",(Calculations!M104+Calculations!R104+Calculations!W104)))</f>
        <v>#N/A</v>
      </c>
      <c r="H195" s="448" t="s">
        <v>1082</v>
      </c>
      <c r="I195" s="541" t="e">
        <f t="shared" si="4"/>
        <v>#N/A</v>
      </c>
      <c r="J195" s="448" t="s">
        <v>1082</v>
      </c>
    </row>
    <row r="196" spans="2:10" x14ac:dyDescent="0.25">
      <c r="B196" s="809"/>
      <c r="C196" s="433" t="str">
        <f>IF(OR(HoursWZ1=24,HoursWZ2=24),"1:00 PM","14 hours late, cumulative")</f>
        <v>1:00 PM</v>
      </c>
      <c r="D196" s="500" t="s">
        <v>887</v>
      </c>
      <c r="E196" s="552" t="e">
        <f>IF(OR(HoursWZ1=24,HoursWZ2=24),(Calculations!M23+Calculations!R23+Calculations!W23),IF(Calculations!M49="-","-",(Calculations!M49+Calculations!R49+Calculations!W49)))</f>
        <v>#N/A</v>
      </c>
      <c r="F196" s="448" t="s">
        <v>1082</v>
      </c>
      <c r="G196" s="552" t="e">
        <f>IF(OR(HoursWZ1=24,HoursWZ2=24),(Calculations!M79+Calculations!R79+Calculations!W79),IF(Calculations!M105="-","-",(Calculations!M105+Calculations!R105+Calculations!W105)))</f>
        <v>#N/A</v>
      </c>
      <c r="H196" s="448" t="s">
        <v>1082</v>
      </c>
      <c r="I196" s="541" t="e">
        <f t="shared" si="4"/>
        <v>#N/A</v>
      </c>
      <c r="J196" s="448" t="s">
        <v>1082</v>
      </c>
    </row>
    <row r="197" spans="2:10" x14ac:dyDescent="0.25">
      <c r="B197" s="809"/>
      <c r="C197" s="433" t="str">
        <f>IF(OR(HoursWZ1=24,HoursWZ2=24),"2:00 PM","15 hours late, cumulative")</f>
        <v>2:00 PM</v>
      </c>
      <c r="D197" s="500" t="s">
        <v>887</v>
      </c>
      <c r="E197" s="552" t="e">
        <f>IF(OR(HoursWZ1=24,HoursWZ2=24),(Calculations!M24+Calculations!R24+Calculations!W24),IF(Calculations!M50="-","-",(Calculations!M50+Calculations!R50+Calculations!W50)))</f>
        <v>#N/A</v>
      </c>
      <c r="F197" s="448" t="s">
        <v>1082</v>
      </c>
      <c r="G197" s="552" t="e">
        <f>IF(OR(HoursWZ1=24,HoursWZ2=24),(Calculations!M80+Calculations!R80+Calculations!W80),IF(Calculations!M106="-","-",(Calculations!M106+Calculations!R106+Calculations!W106)))</f>
        <v>#N/A</v>
      </c>
      <c r="H197" s="448" t="s">
        <v>1082</v>
      </c>
      <c r="I197" s="541" t="e">
        <f t="shared" si="4"/>
        <v>#N/A</v>
      </c>
      <c r="J197" s="448" t="s">
        <v>1082</v>
      </c>
    </row>
    <row r="198" spans="2:10" x14ac:dyDescent="0.25">
      <c r="B198" s="809"/>
      <c r="C198" s="433" t="str">
        <f>IF(OR(HoursWZ1=24,HoursWZ2=24),"3:00 PM","16 hours late, cumulative")</f>
        <v>3:00 PM</v>
      </c>
      <c r="D198" s="500" t="s">
        <v>887</v>
      </c>
      <c r="E198" s="552" t="e">
        <f>IF(OR(HoursWZ1=24,HoursWZ2=24),(Calculations!M25+Calculations!R25+Calculations!W25),IF(Calculations!M51="-","-",(Calculations!M51+Calculations!R51+Calculations!W51)))</f>
        <v>#N/A</v>
      </c>
      <c r="F198" s="448" t="s">
        <v>1082</v>
      </c>
      <c r="G198" s="552" t="e">
        <f>IF(OR(HoursWZ1=24,HoursWZ2=24),(Calculations!M81+Calculations!R81+Calculations!W81),IF(Calculations!M107="-","-",(Calculations!M107+Calculations!R107+Calculations!W107)))</f>
        <v>#N/A</v>
      </c>
      <c r="H198" s="448" t="s">
        <v>1082</v>
      </c>
      <c r="I198" s="541" t="e">
        <f t="shared" si="4"/>
        <v>#N/A</v>
      </c>
      <c r="J198" s="448" t="s">
        <v>1082</v>
      </c>
    </row>
    <row r="199" spans="2:10" x14ac:dyDescent="0.25">
      <c r="B199" s="809"/>
      <c r="C199" s="433" t="str">
        <f>IF(OR(HoursWZ1=24,HoursWZ2=24),"4:00 PM","17 hours late, cumulative")</f>
        <v>4:00 PM</v>
      </c>
      <c r="D199" s="500" t="s">
        <v>887</v>
      </c>
      <c r="E199" s="552" t="e">
        <f>IF(OR(HoursWZ1=24,HoursWZ2=24),(Calculations!M26+Calculations!R26+Calculations!W26),IF(Calculations!M52="-","-",(Calculations!M52+Calculations!R52+Calculations!W52)))</f>
        <v>#N/A</v>
      </c>
      <c r="F199" s="448" t="s">
        <v>1082</v>
      </c>
      <c r="G199" s="552" t="e">
        <f>IF(OR(HoursWZ1=24,HoursWZ2=24),(Calculations!M82+Calculations!R82+Calculations!W82),IF(Calculations!M108="-","-",(Calculations!M108+Calculations!R108+Calculations!W108)))</f>
        <v>#N/A</v>
      </c>
      <c r="H199" s="448" t="s">
        <v>1082</v>
      </c>
      <c r="I199" s="541" t="e">
        <f t="shared" si="4"/>
        <v>#N/A</v>
      </c>
      <c r="J199" s="448" t="s">
        <v>1082</v>
      </c>
    </row>
    <row r="200" spans="2:10" x14ac:dyDescent="0.25">
      <c r="B200" s="809"/>
      <c r="C200" s="433" t="str">
        <f>IF(OR(HoursWZ1=24,HoursWZ2=24),"5:00 PM","18 hours late, cumulative")</f>
        <v>5:00 PM</v>
      </c>
      <c r="D200" s="500" t="s">
        <v>887</v>
      </c>
      <c r="E200" s="552" t="e">
        <f>IF(OR(HoursWZ1=24,HoursWZ2=24),(Calculations!M27+Calculations!R27+Calculations!W27),IF(Calculations!M53="-","-",(Calculations!M53+Calculations!R53+Calculations!W53)))</f>
        <v>#N/A</v>
      </c>
      <c r="F200" s="448" t="s">
        <v>1082</v>
      </c>
      <c r="G200" s="552" t="e">
        <f>IF(OR(HoursWZ1=24,HoursWZ2=24),(Calculations!M83+Calculations!R83+Calculations!W83),IF(Calculations!M109="-","-",(Calculations!M109+Calculations!R109+Calculations!W109)))</f>
        <v>#N/A</v>
      </c>
      <c r="H200" s="448" t="s">
        <v>1082</v>
      </c>
      <c r="I200" s="541" t="e">
        <f t="shared" si="4"/>
        <v>#N/A</v>
      </c>
      <c r="J200" s="448" t="s">
        <v>1082</v>
      </c>
    </row>
    <row r="201" spans="2:10" x14ac:dyDescent="0.25">
      <c r="B201" s="809"/>
      <c r="C201" s="433" t="str">
        <f>IF(OR(HoursWZ1=24,HoursWZ2=24),"6:00 PM","19 hours late, cumulative")</f>
        <v>6:00 PM</v>
      </c>
      <c r="D201" s="500" t="s">
        <v>887</v>
      </c>
      <c r="E201" s="552" t="e">
        <f>IF(OR(HoursWZ1=24,HoursWZ2=24),(Calculations!M28+Calculations!R28+Calculations!W28),IF(Calculations!M54="-","-",(Calculations!M54+Calculations!R54+Calculations!W54)))</f>
        <v>#N/A</v>
      </c>
      <c r="F201" s="448" t="s">
        <v>1082</v>
      </c>
      <c r="G201" s="552" t="e">
        <f>IF(OR(HoursWZ1=24,HoursWZ2=24),(Calculations!M84+Calculations!R84+Calculations!W84),IF(Calculations!M110="-","-",(Calculations!M110+Calculations!R110+Calculations!W110)))</f>
        <v>#N/A</v>
      </c>
      <c r="H201" s="448" t="s">
        <v>1082</v>
      </c>
      <c r="I201" s="541" t="e">
        <f t="shared" si="4"/>
        <v>#N/A</v>
      </c>
      <c r="J201" s="448" t="s">
        <v>1082</v>
      </c>
    </row>
    <row r="202" spans="2:10" x14ac:dyDescent="0.25">
      <c r="B202" s="809"/>
      <c r="C202" s="433" t="str">
        <f>IF(OR(HoursWZ1=24,HoursWZ2=24),"7:00 PM","20 hours late, cumulative")</f>
        <v>7:00 PM</v>
      </c>
      <c r="D202" s="500" t="s">
        <v>887</v>
      </c>
      <c r="E202" s="552" t="e">
        <f>IF(OR(HoursWZ1=24,HoursWZ2=24),(Calculations!M29+Calculations!R29+Calculations!W29),IF(Calculations!M55="-","-",(Calculations!M55+Calculations!R55+Calculations!W55)))</f>
        <v>#N/A</v>
      </c>
      <c r="F202" s="448" t="s">
        <v>1082</v>
      </c>
      <c r="G202" s="552" t="e">
        <f>IF(OR(HoursWZ1=24,HoursWZ2=24),(Calculations!M85+Calculations!R85+Calculations!W85),IF(Calculations!M111="-","-",(Calculations!M111+Calculations!R111+Calculations!W111)))</f>
        <v>#N/A</v>
      </c>
      <c r="H202" s="448" t="s">
        <v>1082</v>
      </c>
      <c r="I202" s="541" t="e">
        <f t="shared" si="4"/>
        <v>#N/A</v>
      </c>
      <c r="J202" s="448" t="s">
        <v>1082</v>
      </c>
    </row>
    <row r="203" spans="2:10" x14ac:dyDescent="0.25">
      <c r="B203" s="809"/>
      <c r="C203" s="433" t="str">
        <f>IF(OR(HoursWZ1=24,HoursWZ2=24),"8:00 PM","21 hours late, cumulative")</f>
        <v>8:00 PM</v>
      </c>
      <c r="D203" s="500" t="s">
        <v>887</v>
      </c>
      <c r="E203" s="552" t="e">
        <f>IF(OR(HoursWZ1=24,HoursWZ2=24),(Calculations!M30+Calculations!R30+Calculations!W30),IF(Calculations!M56="-","-",(Calculations!M56+Calculations!R56+Calculations!W56)))</f>
        <v>#N/A</v>
      </c>
      <c r="F203" s="448" t="s">
        <v>1082</v>
      </c>
      <c r="G203" s="552" t="e">
        <f>IF(OR(HoursWZ1=24,HoursWZ2=24),(Calculations!M86+Calculations!R86+Calculations!W86),IF(Calculations!M112="-","-",(Calculations!M112+Calculations!R112+Calculations!W112)))</f>
        <v>#N/A</v>
      </c>
      <c r="H203" s="448" t="s">
        <v>1082</v>
      </c>
      <c r="I203" s="541" t="e">
        <f t="shared" si="4"/>
        <v>#N/A</v>
      </c>
      <c r="J203" s="448" t="s">
        <v>1082</v>
      </c>
    </row>
    <row r="204" spans="2:10" x14ac:dyDescent="0.25">
      <c r="B204" s="809"/>
      <c r="C204" s="433" t="str">
        <f>IF(OR(HoursWZ1=24,HoursWZ2=24),"9:00 PM","22 hours late, cumulative")</f>
        <v>9:00 PM</v>
      </c>
      <c r="D204" s="500" t="s">
        <v>887</v>
      </c>
      <c r="E204" s="552" t="e">
        <f>IF(OR(HoursWZ1=24,HoursWZ2=24),(Calculations!M31+Calculations!R31+Calculations!W31),IF(Calculations!M57="-","-",(Calculations!M57+Calculations!R57+Calculations!W57)))</f>
        <v>#N/A</v>
      </c>
      <c r="F204" s="448" t="s">
        <v>1082</v>
      </c>
      <c r="G204" s="552" t="e">
        <f>IF(OR(HoursWZ1=24,HoursWZ2=24),(Calculations!M87+Calculations!R87+Calculations!W87),IF(Calculations!M113="-","-",(Calculations!M113+Calculations!R113+Calculations!W113)))</f>
        <v>#N/A</v>
      </c>
      <c r="H204" s="448" t="s">
        <v>1082</v>
      </c>
      <c r="I204" s="541" t="e">
        <f t="shared" si="4"/>
        <v>#N/A</v>
      </c>
      <c r="J204" s="448" t="s">
        <v>1082</v>
      </c>
    </row>
    <row r="205" spans="2:10" x14ac:dyDescent="0.25">
      <c r="B205" s="809"/>
      <c r="C205" s="433" t="str">
        <f>IF(OR(HoursWZ1=24,HoursWZ2=24),"10:00 PM","23 hours late, cumulative")</f>
        <v>10:00 PM</v>
      </c>
      <c r="D205" s="500" t="s">
        <v>887</v>
      </c>
      <c r="E205" s="552" t="e">
        <f>IF(OR(HoursWZ1=24,HoursWZ2=24),(Calculations!M32+Calculations!R32+Calculations!W32),IF(Calculations!M58="-","-",(Calculations!M58+Calculations!R58+Calculations!W58)))</f>
        <v>#N/A</v>
      </c>
      <c r="F205" s="448" t="s">
        <v>1082</v>
      </c>
      <c r="G205" s="552" t="e">
        <f>IF(OR(HoursWZ1=24,HoursWZ2=24),(Calculations!M88+Calculations!R88+Calculations!W88),IF(Calculations!M114="-","-",(Calculations!M114+Calculations!R114+Calculations!W114)))</f>
        <v>#N/A</v>
      </c>
      <c r="H205" s="448" t="s">
        <v>1082</v>
      </c>
      <c r="I205" s="541" t="e">
        <f t="shared" si="4"/>
        <v>#N/A</v>
      </c>
      <c r="J205" s="448" t="s">
        <v>1082</v>
      </c>
    </row>
    <row r="206" spans="2:10" x14ac:dyDescent="0.25">
      <c r="B206" s="810"/>
      <c r="C206" s="433" t="str">
        <f>IF(OR(HoursWZ1=24,HoursWZ2=24),"11:00 PM","One Full Day, cumulative")</f>
        <v>11:00 PM</v>
      </c>
      <c r="D206" s="500" t="s">
        <v>887</v>
      </c>
      <c r="E206" s="552" t="e">
        <f>IF(OR(HoursWZ1=24,HoursWZ2=24),(Calculations!M33+Calculations!R33+Calculations!W33),IF(Calculations!M59="-","-",(Calculations!M59+Calculations!R59+Calculations!W59)))</f>
        <v>#N/A</v>
      </c>
      <c r="F206" s="448" t="s">
        <v>1082</v>
      </c>
      <c r="G206" s="552" t="e">
        <f>IF(OR(HoursWZ1=24,HoursWZ2=24),(Calculations!M89+Calculations!R89+Calculations!W89),IF(Calculations!M115="-","-",(Calculations!M115+Calculations!R115+Calculations!W115)))</f>
        <v>#N/A</v>
      </c>
      <c r="H206" s="448" t="s">
        <v>1082</v>
      </c>
      <c r="I206" s="541" t="e">
        <f t="shared" si="4"/>
        <v>#N/A</v>
      </c>
      <c r="J206" s="448" t="s">
        <v>1082</v>
      </c>
    </row>
    <row r="207" spans="2:10" ht="15" customHeight="1" x14ac:dyDescent="0.25">
      <c r="B207" s="530"/>
      <c r="C207" s="475" t="s">
        <v>1107</v>
      </c>
      <c r="D207" s="177" t="s">
        <v>887</v>
      </c>
      <c r="E207" s="476" t="e">
        <f>(Calculations!AB34)*Duration1</f>
        <v>#N/A</v>
      </c>
      <c r="F207" s="477" t="s">
        <v>1082</v>
      </c>
      <c r="G207" s="476" t="e">
        <f>(Calculations!AB90)*Duration2</f>
        <v>#N/A</v>
      </c>
      <c r="H207" s="477" t="s">
        <v>1082</v>
      </c>
      <c r="I207" s="476" t="e">
        <f>E207+G207</f>
        <v>#N/A</v>
      </c>
      <c r="J207" s="477" t="s">
        <v>1082</v>
      </c>
    </row>
    <row r="208" spans="2:10" x14ac:dyDescent="0.25">
      <c r="B208" s="531"/>
      <c r="C208" s="527" t="s">
        <v>1079</v>
      </c>
      <c r="D208" s="528" t="s">
        <v>887</v>
      </c>
      <c r="E208" s="529" t="e">
        <f>(Calculations!AB35)</f>
        <v>#N/A</v>
      </c>
      <c r="F208" s="477" t="s">
        <v>1082</v>
      </c>
      <c r="G208" s="529" t="e">
        <f>(Calculations!AB91)</f>
        <v>#N/A</v>
      </c>
      <c r="H208" s="477" t="s">
        <v>1082</v>
      </c>
      <c r="I208" s="529" t="e">
        <f>E208+G208</f>
        <v>#N/A</v>
      </c>
      <c r="J208" s="477" t="s">
        <v>1082</v>
      </c>
    </row>
    <row r="209" spans="2:10" x14ac:dyDescent="0.25">
      <c r="B209" s="531"/>
      <c r="C209" s="475" t="str">
        <f>IF(OR(HoursWZ1=24,HoursWZ2=24),"12:00 AM","1 hour late")</f>
        <v>12:00 AM</v>
      </c>
      <c r="D209" s="177" t="s">
        <v>887</v>
      </c>
      <c r="E209" s="476" t="e">
        <f>IF(OR(HoursWZ1=24,HoursWZ2=24),Calculations!AB10,Calculations!AB36)</f>
        <v>#N/A</v>
      </c>
      <c r="F209" s="477" t="s">
        <v>1082</v>
      </c>
      <c r="G209" s="476" t="e">
        <f>IF(OR(HoursWZ1=24,HoursWZ2=24),Calculations!AB66,Calculations!AB92)</f>
        <v>#N/A</v>
      </c>
      <c r="H209" s="477" t="s">
        <v>1082</v>
      </c>
      <c r="I209" s="476" t="e">
        <f t="shared" ref="I209:I232" si="5">IF(OR(E209="-",G209="-"),"-",E209+G209)</f>
        <v>#N/A</v>
      </c>
      <c r="J209" s="477" t="s">
        <v>1082</v>
      </c>
    </row>
    <row r="210" spans="2:10" x14ac:dyDescent="0.25">
      <c r="B210" s="531"/>
      <c r="C210" s="475" t="str">
        <f>IF(OR(HoursWZ1=24,HoursWZ2=24),"1:00 AM","2 hours late, cumulative")</f>
        <v>1:00 AM</v>
      </c>
      <c r="D210" s="177" t="s">
        <v>887</v>
      </c>
      <c r="E210" s="476" t="e">
        <f>IF(OR(HoursWZ1=24,HoursWZ2=24),Calculations!AB11,Calculations!AB37)</f>
        <v>#N/A</v>
      </c>
      <c r="F210" s="477" t="s">
        <v>1082</v>
      </c>
      <c r="G210" s="476" t="e">
        <f>IF(OR(HoursWZ1=24,HoursWZ2=24),Calculations!AB67,Calculations!AB93)</f>
        <v>#N/A</v>
      </c>
      <c r="H210" s="477" t="s">
        <v>1082</v>
      </c>
      <c r="I210" s="476" t="e">
        <f t="shared" si="5"/>
        <v>#N/A</v>
      </c>
      <c r="J210" s="477" t="s">
        <v>1082</v>
      </c>
    </row>
    <row r="211" spans="2:10" x14ac:dyDescent="0.25">
      <c r="B211" s="531"/>
      <c r="C211" s="475" t="str">
        <f>IF(OR(HoursWZ1=24,HoursWZ2=24),"2:00 AM","3 hours late, cumulative")</f>
        <v>2:00 AM</v>
      </c>
      <c r="D211" s="177" t="s">
        <v>887</v>
      </c>
      <c r="E211" s="476" t="e">
        <f>IF(OR(HoursWZ1=24,HoursWZ2=24),Calculations!AB12,Calculations!AB38)</f>
        <v>#N/A</v>
      </c>
      <c r="F211" s="477" t="s">
        <v>1082</v>
      </c>
      <c r="G211" s="476" t="e">
        <f>IF(OR(HoursWZ1=24,HoursWZ2=24),Calculations!AB68,Calculations!AB94)</f>
        <v>#N/A</v>
      </c>
      <c r="H211" s="477" t="s">
        <v>1082</v>
      </c>
      <c r="I211" s="476" t="e">
        <f t="shared" si="5"/>
        <v>#N/A</v>
      </c>
      <c r="J211" s="477" t="s">
        <v>1082</v>
      </c>
    </row>
    <row r="212" spans="2:10" x14ac:dyDescent="0.25">
      <c r="B212" s="531"/>
      <c r="C212" s="475" t="str">
        <f>IF(OR(HoursWZ1=24,HoursWZ2=24),"3:00 AM","4 hours late, cumulative")</f>
        <v>3:00 AM</v>
      </c>
      <c r="D212" s="177" t="s">
        <v>887</v>
      </c>
      <c r="E212" s="476" t="e">
        <f>IF(OR(HoursWZ1=24,HoursWZ2=24),Calculations!AB13,Calculations!AB39)</f>
        <v>#N/A</v>
      </c>
      <c r="F212" s="477" t="s">
        <v>1082</v>
      </c>
      <c r="G212" s="476" t="e">
        <f>IF(OR(HoursWZ1=24,HoursWZ2=24),Calculations!AB69,Calculations!AB95)</f>
        <v>#N/A</v>
      </c>
      <c r="H212" s="477" t="s">
        <v>1082</v>
      </c>
      <c r="I212" s="476" t="e">
        <f t="shared" si="5"/>
        <v>#N/A</v>
      </c>
      <c r="J212" s="477" t="s">
        <v>1082</v>
      </c>
    </row>
    <row r="213" spans="2:10" x14ac:dyDescent="0.25">
      <c r="B213" s="531"/>
      <c r="C213" s="475" t="str">
        <f>IF(OR(HoursWZ1=24,HoursWZ2=24),"4:00 AM","5 hours late, cumulative")</f>
        <v>4:00 AM</v>
      </c>
      <c r="D213" s="177" t="s">
        <v>887</v>
      </c>
      <c r="E213" s="476" t="e">
        <f>IF(OR(HoursWZ1=24,HoursWZ2=24),Calculations!AB14,Calculations!AB40)</f>
        <v>#N/A</v>
      </c>
      <c r="F213" s="477" t="s">
        <v>1082</v>
      </c>
      <c r="G213" s="476" t="e">
        <f>IF(OR(HoursWZ1=24,HoursWZ2=24),Calculations!AB70,Calculations!AB96)</f>
        <v>#N/A</v>
      </c>
      <c r="H213" s="477" t="s">
        <v>1082</v>
      </c>
      <c r="I213" s="476" t="e">
        <f t="shared" si="5"/>
        <v>#N/A</v>
      </c>
      <c r="J213" s="477" t="s">
        <v>1082</v>
      </c>
    </row>
    <row r="214" spans="2:10" x14ac:dyDescent="0.25">
      <c r="B214" s="531"/>
      <c r="C214" s="475" t="str">
        <f>IF(OR(HoursWZ1=24,HoursWZ2=24),"5:00 AM","6 hours late, cumulative")</f>
        <v>5:00 AM</v>
      </c>
      <c r="D214" s="177" t="s">
        <v>887</v>
      </c>
      <c r="E214" s="476" t="e">
        <f>IF(OR(HoursWZ1=24,HoursWZ2=24),Calculations!AB15,Calculations!AB41)</f>
        <v>#N/A</v>
      </c>
      <c r="F214" s="477" t="s">
        <v>1082</v>
      </c>
      <c r="G214" s="476" t="e">
        <f>IF(OR(HoursWZ1=24,HoursWZ2=24),Calculations!AB71,Calculations!AB97)</f>
        <v>#N/A</v>
      </c>
      <c r="H214" s="477" t="s">
        <v>1082</v>
      </c>
      <c r="I214" s="476" t="e">
        <f t="shared" si="5"/>
        <v>#N/A</v>
      </c>
      <c r="J214" s="477" t="s">
        <v>1082</v>
      </c>
    </row>
    <row r="215" spans="2:10" x14ac:dyDescent="0.25">
      <c r="B215" s="531"/>
      <c r="C215" s="475" t="str">
        <f>IF(OR(HoursWZ1=24,HoursWZ2=24),"6:00 AM","7 hours late, cumulative")</f>
        <v>6:00 AM</v>
      </c>
      <c r="D215" s="177" t="s">
        <v>887</v>
      </c>
      <c r="E215" s="476" t="e">
        <f>IF(OR(HoursWZ1=24,HoursWZ2=24),Calculations!AB16,Calculations!AB42)</f>
        <v>#N/A</v>
      </c>
      <c r="F215" s="477" t="s">
        <v>1082</v>
      </c>
      <c r="G215" s="476" t="e">
        <f>IF(OR(HoursWZ1=24,HoursWZ2=24),Calculations!AB72,Calculations!AB98)</f>
        <v>#N/A</v>
      </c>
      <c r="H215" s="477" t="s">
        <v>1082</v>
      </c>
      <c r="I215" s="476" t="e">
        <f t="shared" si="5"/>
        <v>#N/A</v>
      </c>
      <c r="J215" s="477" t="s">
        <v>1082</v>
      </c>
    </row>
    <row r="216" spans="2:10" x14ac:dyDescent="0.25">
      <c r="B216" s="531"/>
      <c r="C216" s="475" t="str">
        <f>IF(OR(HoursWZ1=24,HoursWZ2=24),"7:00 AM","8 hours late, cumulative")</f>
        <v>7:00 AM</v>
      </c>
      <c r="D216" s="177" t="s">
        <v>887</v>
      </c>
      <c r="E216" s="476" t="e">
        <f>IF(OR(HoursWZ1=24,HoursWZ2=24),Calculations!AB17,Calculations!AB43)</f>
        <v>#N/A</v>
      </c>
      <c r="F216" s="477" t="s">
        <v>1082</v>
      </c>
      <c r="G216" s="476" t="e">
        <f>IF(OR(HoursWZ1=24,HoursWZ2=24),Calculations!AB73,Calculations!AB99)</f>
        <v>#N/A</v>
      </c>
      <c r="H216" s="477" t="s">
        <v>1082</v>
      </c>
      <c r="I216" s="476" t="e">
        <f t="shared" si="5"/>
        <v>#N/A</v>
      </c>
      <c r="J216" s="477" t="s">
        <v>1082</v>
      </c>
    </row>
    <row r="217" spans="2:10" x14ac:dyDescent="0.25">
      <c r="B217" s="811" t="s">
        <v>1147</v>
      </c>
      <c r="C217" s="475" t="str">
        <f>IF(OR(HoursWZ1=24,HoursWZ2=24),"8:00 AM","9 hours late, cumulative")</f>
        <v>8:00 AM</v>
      </c>
      <c r="D217" s="177" t="s">
        <v>887</v>
      </c>
      <c r="E217" s="476" t="e">
        <f>IF(OR(HoursWZ1=24,HoursWZ2=24),Calculations!AB18,Calculations!AB44)</f>
        <v>#N/A</v>
      </c>
      <c r="F217" s="477" t="s">
        <v>1082</v>
      </c>
      <c r="G217" s="476" t="e">
        <f>IF(OR(HoursWZ1=24,HoursWZ2=24),Calculations!AB74,Calculations!AB100)</f>
        <v>#N/A</v>
      </c>
      <c r="H217" s="477" t="s">
        <v>1082</v>
      </c>
      <c r="I217" s="476" t="e">
        <f t="shared" si="5"/>
        <v>#N/A</v>
      </c>
      <c r="J217" s="477" t="s">
        <v>1082</v>
      </c>
    </row>
    <row r="218" spans="2:10" x14ac:dyDescent="0.25">
      <c r="B218" s="811"/>
      <c r="C218" s="475" t="str">
        <f>IF(OR(HoursWZ1=24,HoursWZ2=24),"9:00 AM","10 hours late, cumulative")</f>
        <v>9:00 AM</v>
      </c>
      <c r="D218" s="177" t="s">
        <v>887</v>
      </c>
      <c r="E218" s="476" t="e">
        <f>IF(OR(HoursWZ1=24,HoursWZ2=24),Calculations!AB19,Calculations!AB45)</f>
        <v>#N/A</v>
      </c>
      <c r="F218" s="477" t="s">
        <v>1082</v>
      </c>
      <c r="G218" s="476" t="e">
        <f>IF(OR(HoursWZ1=24,HoursWZ2=24),Calculations!AB75,Calculations!AB101)</f>
        <v>#N/A</v>
      </c>
      <c r="H218" s="477" t="s">
        <v>1082</v>
      </c>
      <c r="I218" s="476" t="e">
        <f t="shared" si="5"/>
        <v>#N/A</v>
      </c>
      <c r="J218" s="477" t="s">
        <v>1082</v>
      </c>
    </row>
    <row r="219" spans="2:10" x14ac:dyDescent="0.25">
      <c r="B219" s="811"/>
      <c r="C219" s="475" t="str">
        <f>IF(OR(HoursWZ1=24,HoursWZ2=24),"10:00 AM","11 hours late, cumulativee")</f>
        <v>10:00 AM</v>
      </c>
      <c r="D219" s="177" t="s">
        <v>887</v>
      </c>
      <c r="E219" s="476" t="e">
        <f>IF(OR(HoursWZ1=24,HoursWZ2=24),Calculations!AB20,Calculations!AB46)</f>
        <v>#N/A</v>
      </c>
      <c r="F219" s="477" t="s">
        <v>1082</v>
      </c>
      <c r="G219" s="476" t="e">
        <f>IF(OR(HoursWZ1=24,HoursWZ2=24),Calculations!AB76,Calculations!AB102)</f>
        <v>#N/A</v>
      </c>
      <c r="H219" s="477" t="s">
        <v>1082</v>
      </c>
      <c r="I219" s="476" t="e">
        <f t="shared" si="5"/>
        <v>#N/A</v>
      </c>
      <c r="J219" s="477" t="s">
        <v>1082</v>
      </c>
    </row>
    <row r="220" spans="2:10" x14ac:dyDescent="0.25">
      <c r="B220" s="811"/>
      <c r="C220" s="475" t="str">
        <f>IF(OR(HoursWZ1=24,HoursWZ2=24),"11:00 AM","12 hours late, cumulative")</f>
        <v>11:00 AM</v>
      </c>
      <c r="D220" s="177" t="s">
        <v>887</v>
      </c>
      <c r="E220" s="476" t="e">
        <f>IF(OR(HoursWZ1=24,HoursWZ2=24),Calculations!AB21,Calculations!AB47)</f>
        <v>#N/A</v>
      </c>
      <c r="F220" s="477" t="s">
        <v>1082</v>
      </c>
      <c r="G220" s="476" t="e">
        <f>IF(OR(HoursWZ1=24,HoursWZ2=24),Calculations!AB77,Calculations!AB103)</f>
        <v>#N/A</v>
      </c>
      <c r="H220" s="477" t="s">
        <v>1082</v>
      </c>
      <c r="I220" s="476" t="e">
        <f t="shared" si="5"/>
        <v>#N/A</v>
      </c>
      <c r="J220" s="477" t="s">
        <v>1082</v>
      </c>
    </row>
    <row r="221" spans="2:10" x14ac:dyDescent="0.25">
      <c r="B221" s="811"/>
      <c r="C221" s="475" t="str">
        <f>IF(OR(HoursWZ1=24,HoursWZ2=24),"12:00 PM","13 hours late, cumulative")</f>
        <v>12:00 PM</v>
      </c>
      <c r="D221" s="177" t="s">
        <v>887</v>
      </c>
      <c r="E221" s="476" t="e">
        <f>IF(OR(HoursWZ1=24,HoursWZ2=24),Calculations!AB22,Calculations!AB48)</f>
        <v>#N/A</v>
      </c>
      <c r="F221" s="477" t="s">
        <v>1082</v>
      </c>
      <c r="G221" s="476" t="e">
        <f>IF(OR(HoursWZ1=24,HoursWZ2=24),Calculations!AB78,Calculations!AB104)</f>
        <v>#N/A</v>
      </c>
      <c r="H221" s="477" t="s">
        <v>1082</v>
      </c>
      <c r="I221" s="476" t="e">
        <f t="shared" si="5"/>
        <v>#N/A</v>
      </c>
      <c r="J221" s="477" t="s">
        <v>1082</v>
      </c>
    </row>
    <row r="222" spans="2:10" x14ac:dyDescent="0.25">
      <c r="B222" s="806" t="str">
        <f>FirstDetourName</f>
        <v>Primary Detour</v>
      </c>
      <c r="C222" s="475" t="str">
        <f>IF(OR(HoursWZ1=24,HoursWZ2=24),"1:00 PM","14 hours late, cumulative")</f>
        <v>1:00 PM</v>
      </c>
      <c r="D222" s="177" t="s">
        <v>887</v>
      </c>
      <c r="E222" s="476" t="e">
        <f>IF(OR(HoursWZ1=24,HoursWZ2=24),Calculations!AB23,Calculations!AB49)</f>
        <v>#N/A</v>
      </c>
      <c r="F222" s="477" t="s">
        <v>1082</v>
      </c>
      <c r="G222" s="476" t="e">
        <f>IF(OR(HoursWZ1=24,HoursWZ2=24),Calculations!AB79,Calculations!AB105)</f>
        <v>#N/A</v>
      </c>
      <c r="H222" s="477" t="s">
        <v>1082</v>
      </c>
      <c r="I222" s="476" t="e">
        <f t="shared" si="5"/>
        <v>#N/A</v>
      </c>
      <c r="J222" s="477" t="s">
        <v>1082</v>
      </c>
    </row>
    <row r="223" spans="2:10" x14ac:dyDescent="0.25">
      <c r="B223" s="806"/>
      <c r="C223" s="475" t="str">
        <f>IF(OR(HoursWZ1=24,HoursWZ2=24),"2:00 PM","15 hours late, cumulative")</f>
        <v>2:00 PM</v>
      </c>
      <c r="D223" s="177" t="s">
        <v>887</v>
      </c>
      <c r="E223" s="476" t="e">
        <f>IF(OR(HoursWZ1=24,HoursWZ2=24),Calculations!AB24,Calculations!AB50)</f>
        <v>#N/A</v>
      </c>
      <c r="F223" s="477" t="s">
        <v>1082</v>
      </c>
      <c r="G223" s="476" t="e">
        <f>IF(OR(HoursWZ1=24,HoursWZ2=24),Calculations!AB80,Calculations!AB106)</f>
        <v>#N/A</v>
      </c>
      <c r="H223" s="477" t="s">
        <v>1082</v>
      </c>
      <c r="I223" s="476" t="e">
        <f t="shared" si="5"/>
        <v>#N/A</v>
      </c>
      <c r="J223" s="477" t="s">
        <v>1082</v>
      </c>
    </row>
    <row r="224" spans="2:10" x14ac:dyDescent="0.25">
      <c r="B224" s="531"/>
      <c r="C224" s="475" t="str">
        <f>IF(OR(HoursWZ1=24,HoursWZ2=24),"3:00 PM","16 hours late, cumulative")</f>
        <v>3:00 PM</v>
      </c>
      <c r="D224" s="177" t="s">
        <v>887</v>
      </c>
      <c r="E224" s="476" t="e">
        <f>IF(OR(HoursWZ1=24,HoursWZ2=24),Calculations!AB25,Calculations!AB51)</f>
        <v>#N/A</v>
      </c>
      <c r="F224" s="477" t="s">
        <v>1082</v>
      </c>
      <c r="G224" s="476" t="e">
        <f>IF(OR(HoursWZ1=24,HoursWZ2=24),Calculations!AB81,Calculations!AB107)</f>
        <v>#N/A</v>
      </c>
      <c r="H224" s="477" t="s">
        <v>1082</v>
      </c>
      <c r="I224" s="476" t="e">
        <f t="shared" si="5"/>
        <v>#N/A</v>
      </c>
      <c r="J224" s="477" t="s">
        <v>1082</v>
      </c>
    </row>
    <row r="225" spans="2:10" x14ac:dyDescent="0.25">
      <c r="B225" s="531"/>
      <c r="C225" s="475" t="str">
        <f>IF(OR(HoursWZ1=24,HoursWZ2=24),"4:00 PM","17 hours late, cumulative")</f>
        <v>4:00 PM</v>
      </c>
      <c r="D225" s="177" t="s">
        <v>887</v>
      </c>
      <c r="E225" s="476" t="e">
        <f>IF(OR(HoursWZ1=24,HoursWZ2=24),Calculations!AB26,Calculations!AB52)</f>
        <v>#N/A</v>
      </c>
      <c r="F225" s="477" t="s">
        <v>1082</v>
      </c>
      <c r="G225" s="476" t="e">
        <f>IF(OR(HoursWZ1=24,HoursWZ2=24),Calculations!AB82,Calculations!AB108)</f>
        <v>#N/A</v>
      </c>
      <c r="H225" s="477" t="s">
        <v>1082</v>
      </c>
      <c r="I225" s="476" t="e">
        <f t="shared" si="5"/>
        <v>#N/A</v>
      </c>
      <c r="J225" s="477" t="s">
        <v>1082</v>
      </c>
    </row>
    <row r="226" spans="2:10" x14ac:dyDescent="0.25">
      <c r="B226" s="531"/>
      <c r="C226" s="475" t="str">
        <f>IF(OR(HoursWZ1=24,HoursWZ2=24),"5:00 PM","18 hours late, cumulative")</f>
        <v>5:00 PM</v>
      </c>
      <c r="D226" s="177" t="s">
        <v>887</v>
      </c>
      <c r="E226" s="476" t="e">
        <f>IF(OR(HoursWZ1=24,HoursWZ2=24),Calculations!AB27,Calculations!AB53)</f>
        <v>#N/A</v>
      </c>
      <c r="F226" s="477" t="s">
        <v>1082</v>
      </c>
      <c r="G226" s="476" t="e">
        <f>IF(OR(HoursWZ1=24,HoursWZ2=24),Calculations!AB83,Calculations!AB109)</f>
        <v>#N/A</v>
      </c>
      <c r="H226" s="477" t="s">
        <v>1082</v>
      </c>
      <c r="I226" s="476" t="e">
        <f t="shared" si="5"/>
        <v>#N/A</v>
      </c>
      <c r="J226" s="477" t="s">
        <v>1082</v>
      </c>
    </row>
    <row r="227" spans="2:10" x14ac:dyDescent="0.25">
      <c r="B227" s="531"/>
      <c r="C227" s="475" t="str">
        <f>IF(OR(HoursWZ1=24,HoursWZ2=24),"6:00 PM","19 hours late, cumulative")</f>
        <v>6:00 PM</v>
      </c>
      <c r="D227" s="177" t="s">
        <v>887</v>
      </c>
      <c r="E227" s="476" t="e">
        <f>IF(OR(HoursWZ1=24,HoursWZ2=24),Calculations!AB28,Calculations!AB54)</f>
        <v>#N/A</v>
      </c>
      <c r="F227" s="477" t="s">
        <v>1082</v>
      </c>
      <c r="G227" s="476" t="e">
        <f>IF(OR(HoursWZ1=24,HoursWZ2=24),Calculations!AB84,Calculations!AB110)</f>
        <v>#N/A</v>
      </c>
      <c r="H227" s="477" t="s">
        <v>1082</v>
      </c>
      <c r="I227" s="476" t="e">
        <f t="shared" si="5"/>
        <v>#N/A</v>
      </c>
      <c r="J227" s="477" t="s">
        <v>1082</v>
      </c>
    </row>
    <row r="228" spans="2:10" x14ac:dyDescent="0.25">
      <c r="B228" s="531"/>
      <c r="C228" s="475" t="str">
        <f>IF(OR(HoursWZ1=24,HoursWZ2=24),"7:00 PM","20 hours late, cumulative")</f>
        <v>7:00 PM</v>
      </c>
      <c r="D228" s="177" t="s">
        <v>887</v>
      </c>
      <c r="E228" s="476" t="e">
        <f>IF(OR(HoursWZ1=24,HoursWZ2=24),Calculations!AB29,Calculations!AB55)</f>
        <v>#N/A</v>
      </c>
      <c r="F228" s="477" t="s">
        <v>1082</v>
      </c>
      <c r="G228" s="476" t="e">
        <f>IF(OR(HoursWZ1=24,HoursWZ2=24),Calculations!AB85,Calculations!AB111)</f>
        <v>#N/A</v>
      </c>
      <c r="H228" s="477" t="s">
        <v>1082</v>
      </c>
      <c r="I228" s="476" t="e">
        <f t="shared" si="5"/>
        <v>#N/A</v>
      </c>
      <c r="J228" s="477" t="s">
        <v>1082</v>
      </c>
    </row>
    <row r="229" spans="2:10" x14ac:dyDescent="0.25">
      <c r="B229" s="531"/>
      <c r="C229" s="475" t="str">
        <f>IF(OR(HoursWZ1=24,HoursWZ2=24),"8:00 PM","21 hours late, cumulative")</f>
        <v>8:00 PM</v>
      </c>
      <c r="D229" s="177" t="s">
        <v>887</v>
      </c>
      <c r="E229" s="476" t="e">
        <f>IF(OR(HoursWZ1=24,HoursWZ2=24),Calculations!AB30,Calculations!AB56)</f>
        <v>#N/A</v>
      </c>
      <c r="F229" s="477" t="s">
        <v>1082</v>
      </c>
      <c r="G229" s="476" t="e">
        <f>IF(OR(HoursWZ1=24,HoursWZ2=24),Calculations!AB86,Calculations!AB112)</f>
        <v>#N/A</v>
      </c>
      <c r="H229" s="477" t="s">
        <v>1082</v>
      </c>
      <c r="I229" s="476" t="e">
        <f t="shared" si="5"/>
        <v>#N/A</v>
      </c>
      <c r="J229" s="477" t="s">
        <v>1082</v>
      </c>
    </row>
    <row r="230" spans="2:10" x14ac:dyDescent="0.25">
      <c r="B230" s="531"/>
      <c r="C230" s="475" t="str">
        <f>IF(OR(HoursWZ1=24,HoursWZ2=24),"9:00 PM","22 hours late, cumulative")</f>
        <v>9:00 PM</v>
      </c>
      <c r="D230" s="177" t="s">
        <v>887</v>
      </c>
      <c r="E230" s="476" t="e">
        <f>IF(OR(HoursWZ1=24,HoursWZ2=24),Calculations!AB31,Calculations!AB57)</f>
        <v>#N/A</v>
      </c>
      <c r="F230" s="477" t="s">
        <v>1082</v>
      </c>
      <c r="G230" s="476" t="e">
        <f>IF(OR(HoursWZ1=24,HoursWZ2=24),Calculations!AB87,Calculations!AB113)</f>
        <v>#N/A</v>
      </c>
      <c r="H230" s="477" t="s">
        <v>1082</v>
      </c>
      <c r="I230" s="476" t="e">
        <f t="shared" si="5"/>
        <v>#N/A</v>
      </c>
      <c r="J230" s="477" t="s">
        <v>1082</v>
      </c>
    </row>
    <row r="231" spans="2:10" x14ac:dyDescent="0.25">
      <c r="B231" s="531"/>
      <c r="C231" s="475" t="str">
        <f>IF(OR(HoursWZ1=24,HoursWZ2=24),"10:00 PM","23 hours late, cumulative")</f>
        <v>10:00 PM</v>
      </c>
      <c r="D231" s="177" t="s">
        <v>887</v>
      </c>
      <c r="E231" s="476" t="e">
        <f>IF(OR(HoursWZ1=24,HoursWZ2=24),Calculations!AB32,Calculations!AB58)</f>
        <v>#N/A</v>
      </c>
      <c r="F231" s="477" t="s">
        <v>1082</v>
      </c>
      <c r="G231" s="476" t="e">
        <f>IF(OR(HoursWZ1=24,HoursWZ2=24),Calculations!AB88,Calculations!AB114)</f>
        <v>#N/A</v>
      </c>
      <c r="H231" s="477" t="s">
        <v>1082</v>
      </c>
      <c r="I231" s="476" t="e">
        <f t="shared" si="5"/>
        <v>#N/A</v>
      </c>
      <c r="J231" s="477" t="s">
        <v>1082</v>
      </c>
    </row>
    <row r="232" spans="2:10" x14ac:dyDescent="0.25">
      <c r="B232" s="532"/>
      <c r="C232" s="475" t="str">
        <f>IF(OR(HoursWZ1=24,HoursWZ2=24),"11:00 PM","One Full Day, cumulative")</f>
        <v>11:00 PM</v>
      </c>
      <c r="D232" s="177" t="s">
        <v>887</v>
      </c>
      <c r="E232" s="476" t="e">
        <f>IF(OR(HoursWZ1=24,HoursWZ2=24),Calculations!AB33,Calculations!AB59)</f>
        <v>#N/A</v>
      </c>
      <c r="F232" s="477" t="s">
        <v>1082</v>
      </c>
      <c r="G232" s="476" t="e">
        <f>IF(OR(HoursWZ1=24,HoursWZ2=24),Calculations!AB89,Calculations!AB115)</f>
        <v>#N/A</v>
      </c>
      <c r="H232" s="477" t="s">
        <v>1082</v>
      </c>
      <c r="I232" s="476" t="e">
        <f t="shared" si="5"/>
        <v>#N/A</v>
      </c>
      <c r="J232" s="477" t="s">
        <v>1082</v>
      </c>
    </row>
    <row r="233" spans="2:10" x14ac:dyDescent="0.25">
      <c r="B233" s="535"/>
      <c r="C233" s="433" t="s">
        <v>1107</v>
      </c>
      <c r="D233" s="500" t="s">
        <v>887</v>
      </c>
      <c r="E233" s="534" t="e">
        <f>(Calculations!AG34)*Duration1</f>
        <v>#N/A</v>
      </c>
      <c r="F233" s="448" t="s">
        <v>1082</v>
      </c>
      <c r="G233" s="534" t="e">
        <f>(Calculations!AG90)*Duration2</f>
        <v>#N/A</v>
      </c>
      <c r="H233" s="448" t="s">
        <v>1082</v>
      </c>
      <c r="I233" s="534" t="e">
        <f>E233+G233</f>
        <v>#N/A</v>
      </c>
      <c r="J233" s="448" t="s">
        <v>1082</v>
      </c>
    </row>
    <row r="234" spans="2:10" x14ac:dyDescent="0.25">
      <c r="B234" s="536"/>
      <c r="C234" s="538" t="s">
        <v>1079</v>
      </c>
      <c r="D234" s="539" t="s">
        <v>887</v>
      </c>
      <c r="E234" s="540" t="e">
        <f>(Calculations!AG35)</f>
        <v>#N/A</v>
      </c>
      <c r="F234" s="448" t="s">
        <v>1082</v>
      </c>
      <c r="G234" s="540" t="e">
        <f>(Calculations!AG91)</f>
        <v>#N/A</v>
      </c>
      <c r="H234" s="448" t="s">
        <v>1082</v>
      </c>
      <c r="I234" s="540" t="e">
        <f>E234+G234</f>
        <v>#N/A</v>
      </c>
      <c r="J234" s="448" t="s">
        <v>1082</v>
      </c>
    </row>
    <row r="235" spans="2:10" x14ac:dyDescent="0.25">
      <c r="B235" s="536"/>
      <c r="C235" s="433" t="str">
        <f>IF(OR(HoursWZ1=24,HoursWZ2=24),"12:00 AM","1 hour late")</f>
        <v>12:00 AM</v>
      </c>
      <c r="D235" s="500" t="s">
        <v>887</v>
      </c>
      <c r="E235" s="534" t="e">
        <f>IF(OR(HoursWZ1=24,HoursWZ2=24),Calculations!AG10,Calculations!AG36)</f>
        <v>#N/A</v>
      </c>
      <c r="F235" s="448" t="s">
        <v>1082</v>
      </c>
      <c r="G235" s="534" t="e">
        <f>IF(OR(HoursWZ1=24,HoursWZ2=24),Calculations!AG66,Calculations!AG92)</f>
        <v>#N/A</v>
      </c>
      <c r="H235" s="448" t="s">
        <v>1082</v>
      </c>
      <c r="I235" s="541" t="e">
        <f t="shared" ref="I235:I258" si="6">IF(OR(E235="-",G235="-"),"-",E235+G235)</f>
        <v>#N/A</v>
      </c>
      <c r="J235" s="448" t="s">
        <v>1082</v>
      </c>
    </row>
    <row r="236" spans="2:10" x14ac:dyDescent="0.25">
      <c r="B236" s="536"/>
      <c r="C236" s="433" t="str">
        <f>IF(OR(HoursWZ1=24,HoursWZ2=24),"1:00 AM","2 hours late, cumulative")</f>
        <v>1:00 AM</v>
      </c>
      <c r="D236" s="500" t="s">
        <v>887</v>
      </c>
      <c r="E236" s="534" t="e">
        <f>IF(OR(HoursWZ1=24,HoursWZ2=24),Calculations!AG11,Calculations!AG37)</f>
        <v>#N/A</v>
      </c>
      <c r="F236" s="448" t="s">
        <v>1082</v>
      </c>
      <c r="G236" s="534" t="e">
        <f>IF(OR(HoursWZ1=24,HoursWZ2=24),Calculations!AG67,Calculations!AG93)</f>
        <v>#N/A</v>
      </c>
      <c r="H236" s="448" t="s">
        <v>1082</v>
      </c>
      <c r="I236" s="541" t="e">
        <f t="shared" si="6"/>
        <v>#N/A</v>
      </c>
      <c r="J236" s="448" t="s">
        <v>1082</v>
      </c>
    </row>
    <row r="237" spans="2:10" x14ac:dyDescent="0.25">
      <c r="B237" s="536"/>
      <c r="C237" s="433" t="str">
        <f>IF(OR(HoursWZ1=24,HoursWZ2=24),"2:00 AM","3 hours late, cumulative")</f>
        <v>2:00 AM</v>
      </c>
      <c r="D237" s="500" t="s">
        <v>887</v>
      </c>
      <c r="E237" s="534" t="e">
        <f>IF(OR(HoursWZ1=24,HoursWZ2=24),Calculations!AG12,Calculations!AG38)</f>
        <v>#N/A</v>
      </c>
      <c r="F237" s="448" t="s">
        <v>1082</v>
      </c>
      <c r="G237" s="534" t="e">
        <f>IF(OR(HoursWZ1=24,HoursWZ2=24),Calculations!AG68,Calculations!AG94)</f>
        <v>#N/A</v>
      </c>
      <c r="H237" s="448" t="s">
        <v>1082</v>
      </c>
      <c r="I237" s="541" t="e">
        <f t="shared" si="6"/>
        <v>#N/A</v>
      </c>
      <c r="J237" s="448" t="s">
        <v>1082</v>
      </c>
    </row>
    <row r="238" spans="2:10" x14ac:dyDescent="0.25">
      <c r="B238" s="536"/>
      <c r="C238" s="433" t="str">
        <f>IF(OR(HoursWZ1=24,HoursWZ2=24),"3:00 AM","4 hours late, cumulative")</f>
        <v>3:00 AM</v>
      </c>
      <c r="D238" s="500" t="s">
        <v>887</v>
      </c>
      <c r="E238" s="534" t="e">
        <f>IF(OR(HoursWZ1=24,HoursWZ2=24),Calculations!AG13,Calculations!AG39)</f>
        <v>#N/A</v>
      </c>
      <c r="F238" s="448" t="s">
        <v>1082</v>
      </c>
      <c r="G238" s="534" t="e">
        <f>IF(OR(HoursWZ1=24,HoursWZ2=24),Calculations!AG69,Calculations!AG95)</f>
        <v>#N/A</v>
      </c>
      <c r="H238" s="448" t="s">
        <v>1082</v>
      </c>
      <c r="I238" s="541" t="e">
        <f t="shared" si="6"/>
        <v>#N/A</v>
      </c>
      <c r="J238" s="448" t="s">
        <v>1082</v>
      </c>
    </row>
    <row r="239" spans="2:10" x14ac:dyDescent="0.25">
      <c r="B239" s="536"/>
      <c r="C239" s="433" t="str">
        <f>IF(OR(HoursWZ1=24,HoursWZ2=24),"4:00 AM","5 hours late, cumulative")</f>
        <v>4:00 AM</v>
      </c>
      <c r="D239" s="500" t="s">
        <v>887</v>
      </c>
      <c r="E239" s="534" t="e">
        <f>IF(OR(HoursWZ1=24,HoursWZ2=24),Calculations!AG14,Calculations!AG40)</f>
        <v>#N/A</v>
      </c>
      <c r="F239" s="448" t="s">
        <v>1082</v>
      </c>
      <c r="G239" s="534" t="e">
        <f>IF(OR(HoursWZ1=24,HoursWZ2=24),Calculations!AG70,Calculations!AG96)</f>
        <v>#N/A</v>
      </c>
      <c r="H239" s="448" t="s">
        <v>1082</v>
      </c>
      <c r="I239" s="541" t="e">
        <f t="shared" si="6"/>
        <v>#N/A</v>
      </c>
      <c r="J239" s="448" t="s">
        <v>1082</v>
      </c>
    </row>
    <row r="240" spans="2:10" x14ac:dyDescent="0.25">
      <c r="B240" s="536"/>
      <c r="C240" s="433" t="str">
        <f>IF(OR(HoursWZ1=24,HoursWZ2=24),"5:00 AM","6 hours late, cumulative")</f>
        <v>5:00 AM</v>
      </c>
      <c r="D240" s="500" t="s">
        <v>887</v>
      </c>
      <c r="E240" s="534" t="e">
        <f>IF(OR(HoursWZ1=24,HoursWZ2=24),Calculations!AG15,Calculations!AG41)</f>
        <v>#N/A</v>
      </c>
      <c r="F240" s="448" t="s">
        <v>1082</v>
      </c>
      <c r="G240" s="534" t="e">
        <f>IF(OR(HoursWZ1=24,HoursWZ2=24),Calculations!AG71,Calculations!AG97)</f>
        <v>#N/A</v>
      </c>
      <c r="H240" s="448" t="s">
        <v>1082</v>
      </c>
      <c r="I240" s="541" t="e">
        <f t="shared" si="6"/>
        <v>#N/A</v>
      </c>
      <c r="J240" s="448" t="s">
        <v>1082</v>
      </c>
    </row>
    <row r="241" spans="2:10" x14ac:dyDescent="0.25">
      <c r="B241" s="536"/>
      <c r="C241" s="433" t="str">
        <f>IF(OR(HoursWZ1=24,HoursWZ2=24),"6:00 AM","7 hours late, cumulative")</f>
        <v>6:00 AM</v>
      </c>
      <c r="D241" s="500" t="s">
        <v>887</v>
      </c>
      <c r="E241" s="534" t="e">
        <f>IF(OR(HoursWZ1=24,HoursWZ2=24),Calculations!AG16,Calculations!AG42)</f>
        <v>#N/A</v>
      </c>
      <c r="F241" s="448" t="s">
        <v>1082</v>
      </c>
      <c r="G241" s="534" t="e">
        <f>IF(OR(HoursWZ1=24,HoursWZ2=24),Calculations!AG72,Calculations!AG98)</f>
        <v>#N/A</v>
      </c>
      <c r="H241" s="448" t="s">
        <v>1082</v>
      </c>
      <c r="I241" s="541" t="e">
        <f t="shared" si="6"/>
        <v>#N/A</v>
      </c>
      <c r="J241" s="448" t="s">
        <v>1082</v>
      </c>
    </row>
    <row r="242" spans="2:10" x14ac:dyDescent="0.25">
      <c r="B242" s="536"/>
      <c r="C242" s="433" t="str">
        <f>IF(OR(HoursWZ1=24,HoursWZ2=24),"7:00 AM","8 hours late, cumulative")</f>
        <v>7:00 AM</v>
      </c>
      <c r="D242" s="500" t="s">
        <v>887</v>
      </c>
      <c r="E242" s="534" t="e">
        <f>IF(OR(HoursWZ1=24,HoursWZ2=24),Calculations!AG17,Calculations!AG43)</f>
        <v>#N/A</v>
      </c>
      <c r="F242" s="448" t="s">
        <v>1082</v>
      </c>
      <c r="G242" s="534" t="e">
        <f>IF(OR(HoursWZ1=24,HoursWZ2=24),Calculations!AG73,Calculations!AG99)</f>
        <v>#N/A</v>
      </c>
      <c r="H242" s="448" t="s">
        <v>1082</v>
      </c>
      <c r="I242" s="541" t="e">
        <f t="shared" si="6"/>
        <v>#N/A</v>
      </c>
      <c r="J242" s="448" t="s">
        <v>1082</v>
      </c>
    </row>
    <row r="243" spans="2:10" x14ac:dyDescent="0.25">
      <c r="B243" s="809" t="s">
        <v>1147</v>
      </c>
      <c r="C243" s="433" t="str">
        <f>IF(OR(HoursWZ1=24,HoursWZ2=24),"8:00 AM","9 hours late, cumulative")</f>
        <v>8:00 AM</v>
      </c>
      <c r="D243" s="500" t="s">
        <v>887</v>
      </c>
      <c r="E243" s="534" t="e">
        <f>IF(OR(HoursWZ1=24,HoursWZ2=24),Calculations!AG18,Calculations!AG44)</f>
        <v>#N/A</v>
      </c>
      <c r="F243" s="448" t="s">
        <v>1082</v>
      </c>
      <c r="G243" s="534" t="e">
        <f>IF(OR(HoursWZ1=24,HoursWZ2=24),Calculations!AG74,Calculations!AG100)</f>
        <v>#N/A</v>
      </c>
      <c r="H243" s="448" t="s">
        <v>1082</v>
      </c>
      <c r="I243" s="541" t="e">
        <f t="shared" si="6"/>
        <v>#N/A</v>
      </c>
      <c r="J243" s="448" t="s">
        <v>1082</v>
      </c>
    </row>
    <row r="244" spans="2:10" x14ac:dyDescent="0.25">
      <c r="B244" s="809"/>
      <c r="C244" s="433" t="str">
        <f>IF(OR(HoursWZ1=24,HoursWZ2=24),"9:00 AM","10 hours late, cumulative")</f>
        <v>9:00 AM</v>
      </c>
      <c r="D244" s="500" t="s">
        <v>887</v>
      </c>
      <c r="E244" s="534" t="e">
        <f>IF(OR(HoursWZ1=24,HoursWZ2=24),Calculations!AG19,Calculations!AG45)</f>
        <v>#N/A</v>
      </c>
      <c r="F244" s="448" t="s">
        <v>1082</v>
      </c>
      <c r="G244" s="534" t="e">
        <f>IF(OR(HoursWZ1=24,HoursWZ2=24),Calculations!AG75,Calculations!AG101)</f>
        <v>#N/A</v>
      </c>
      <c r="H244" s="448" t="s">
        <v>1082</v>
      </c>
      <c r="I244" s="541" t="e">
        <f t="shared" si="6"/>
        <v>#N/A</v>
      </c>
      <c r="J244" s="448" t="s">
        <v>1082</v>
      </c>
    </row>
    <row r="245" spans="2:10" x14ac:dyDescent="0.25">
      <c r="B245" s="809"/>
      <c r="C245" s="433" t="str">
        <f>IF(OR(HoursWZ1=24,HoursWZ2=24),"10:00 AM","11 hours late, cumulative")</f>
        <v>10:00 AM</v>
      </c>
      <c r="D245" s="500" t="s">
        <v>887</v>
      </c>
      <c r="E245" s="534" t="e">
        <f>IF(OR(HoursWZ1=24,HoursWZ2=24),Calculations!AG20,Calculations!AG46)</f>
        <v>#N/A</v>
      </c>
      <c r="F245" s="448" t="s">
        <v>1082</v>
      </c>
      <c r="G245" s="534" t="e">
        <f>IF(OR(HoursWZ1=24,HoursWZ2=24),Calculations!AG76,Calculations!AG102)</f>
        <v>#N/A</v>
      </c>
      <c r="H245" s="448" t="s">
        <v>1082</v>
      </c>
      <c r="I245" s="541" t="e">
        <f t="shared" si="6"/>
        <v>#N/A</v>
      </c>
      <c r="J245" s="448" t="s">
        <v>1082</v>
      </c>
    </row>
    <row r="246" spans="2:10" x14ac:dyDescent="0.25">
      <c r="B246" s="809"/>
      <c r="C246" s="433" t="str">
        <f>IF(OR(HoursWZ1=24,HoursWZ2=24),"11:00 AM","12 hours late, cumulative")</f>
        <v>11:00 AM</v>
      </c>
      <c r="D246" s="500" t="s">
        <v>887</v>
      </c>
      <c r="E246" s="534" t="e">
        <f>IF(OR(HoursWZ1=24,HoursWZ2=24),Calculations!AG21,Calculations!AG47)</f>
        <v>#N/A</v>
      </c>
      <c r="F246" s="448" t="s">
        <v>1082</v>
      </c>
      <c r="G246" s="534" t="e">
        <f>IF(OR(HoursWZ1=24,HoursWZ2=24),Calculations!AG77,Calculations!AG103)</f>
        <v>#N/A</v>
      </c>
      <c r="H246" s="448" t="s">
        <v>1082</v>
      </c>
      <c r="I246" s="541" t="e">
        <f t="shared" si="6"/>
        <v>#N/A</v>
      </c>
      <c r="J246" s="448" t="s">
        <v>1082</v>
      </c>
    </row>
    <row r="247" spans="2:10" x14ac:dyDescent="0.25">
      <c r="B247" s="809"/>
      <c r="C247" s="433" t="str">
        <f>IF(OR(HoursWZ1=24,HoursWZ2=24),"12:00 PM","13 hours late, cumulative")</f>
        <v>12:00 PM</v>
      </c>
      <c r="D247" s="500" t="s">
        <v>887</v>
      </c>
      <c r="E247" s="534" t="e">
        <f>IF(OR(HoursWZ1=24,HoursWZ2=24),Calculations!AG22,Calculations!AG48)</f>
        <v>#N/A</v>
      </c>
      <c r="F247" s="448" t="s">
        <v>1082</v>
      </c>
      <c r="G247" s="534" t="e">
        <f>IF(OR(HoursWZ1=24,HoursWZ2=24),Calculations!AG78,Calculations!AG104)</f>
        <v>#N/A</v>
      </c>
      <c r="H247" s="448" t="s">
        <v>1082</v>
      </c>
      <c r="I247" s="541" t="e">
        <f t="shared" si="6"/>
        <v>#N/A</v>
      </c>
      <c r="J247" s="448" t="s">
        <v>1082</v>
      </c>
    </row>
    <row r="248" spans="2:10" x14ac:dyDescent="0.25">
      <c r="B248" s="818" t="str">
        <f>SecondDetourName</f>
        <v>Secondary Detour</v>
      </c>
      <c r="C248" s="433" t="str">
        <f>IF(OR(HoursWZ1=24,HoursWZ2=24),"1:00 PM","14 hours late, cumulative")</f>
        <v>1:00 PM</v>
      </c>
      <c r="D248" s="500" t="s">
        <v>887</v>
      </c>
      <c r="E248" s="534" t="e">
        <f>IF(OR(HoursWZ1=24,HoursWZ2=24),Calculations!AG23,Calculations!AG49)</f>
        <v>#N/A</v>
      </c>
      <c r="F248" s="448" t="s">
        <v>1082</v>
      </c>
      <c r="G248" s="534" t="e">
        <f>IF(OR(HoursWZ1=24,HoursWZ2=24),Calculations!AG79,Calculations!AG105)</f>
        <v>#N/A</v>
      </c>
      <c r="H248" s="448" t="s">
        <v>1082</v>
      </c>
      <c r="I248" s="541" t="e">
        <f t="shared" si="6"/>
        <v>#N/A</v>
      </c>
      <c r="J248" s="448" t="s">
        <v>1082</v>
      </c>
    </row>
    <row r="249" spans="2:10" x14ac:dyDescent="0.25">
      <c r="B249" s="818"/>
      <c r="C249" s="433" t="str">
        <f>IF(OR(HoursWZ1=24,HoursWZ2=24),"2:00 PM","15 hours late, cumulative")</f>
        <v>2:00 PM</v>
      </c>
      <c r="D249" s="500" t="s">
        <v>887</v>
      </c>
      <c r="E249" s="534" t="e">
        <f>IF(OR(HoursWZ1=24,HoursWZ2=24),Calculations!AG24,Calculations!AG50)</f>
        <v>#N/A</v>
      </c>
      <c r="F249" s="448" t="s">
        <v>1082</v>
      </c>
      <c r="G249" s="534" t="e">
        <f>IF(OR(HoursWZ1=24,HoursWZ2=24),Calculations!AG80,Calculations!AG106)</f>
        <v>#N/A</v>
      </c>
      <c r="H249" s="448" t="s">
        <v>1082</v>
      </c>
      <c r="I249" s="541" t="e">
        <f t="shared" si="6"/>
        <v>#N/A</v>
      </c>
      <c r="J249" s="448" t="s">
        <v>1082</v>
      </c>
    </row>
    <row r="250" spans="2:10" x14ac:dyDescent="0.25">
      <c r="B250" s="536"/>
      <c r="C250" s="433" t="str">
        <f>IF(OR(HoursWZ1=24,HoursWZ2=24),"3:00 PM","16 hours late, cumulative")</f>
        <v>3:00 PM</v>
      </c>
      <c r="D250" s="500" t="s">
        <v>887</v>
      </c>
      <c r="E250" s="534" t="e">
        <f>IF(OR(HoursWZ1=24,HoursWZ2=24),Calculations!AG25,Calculations!AG51)</f>
        <v>#N/A</v>
      </c>
      <c r="F250" s="448" t="s">
        <v>1082</v>
      </c>
      <c r="G250" s="534" t="e">
        <f>IF(OR(HoursWZ1=24,HoursWZ2=24),Calculations!AG81,Calculations!AG107)</f>
        <v>#N/A</v>
      </c>
      <c r="H250" s="448" t="s">
        <v>1082</v>
      </c>
      <c r="I250" s="541" t="e">
        <f t="shared" si="6"/>
        <v>#N/A</v>
      </c>
      <c r="J250" s="448" t="s">
        <v>1082</v>
      </c>
    </row>
    <row r="251" spans="2:10" x14ac:dyDescent="0.25">
      <c r="B251" s="536"/>
      <c r="C251" s="433" t="str">
        <f>IF(OR(HoursWZ1=24,HoursWZ2=24),"4:00 PM","17 hours late, cumulative")</f>
        <v>4:00 PM</v>
      </c>
      <c r="D251" s="500" t="s">
        <v>887</v>
      </c>
      <c r="E251" s="534" t="e">
        <f>IF(OR(HoursWZ1=24,HoursWZ2=24),Calculations!AG26,Calculations!AG52)</f>
        <v>#N/A</v>
      </c>
      <c r="F251" s="448" t="s">
        <v>1082</v>
      </c>
      <c r="G251" s="534" t="e">
        <f>IF(OR(HoursWZ1=24,HoursWZ2=24),Calculations!AG82,Calculations!AG108)</f>
        <v>#N/A</v>
      </c>
      <c r="H251" s="448" t="s">
        <v>1082</v>
      </c>
      <c r="I251" s="541" t="e">
        <f t="shared" si="6"/>
        <v>#N/A</v>
      </c>
      <c r="J251" s="448" t="s">
        <v>1082</v>
      </c>
    </row>
    <row r="252" spans="2:10" x14ac:dyDescent="0.25">
      <c r="B252" s="536"/>
      <c r="C252" s="433" t="str">
        <f>IF(OR(HoursWZ1=24,HoursWZ2=24),"5:00 PM","18 hours late, cumulative")</f>
        <v>5:00 PM</v>
      </c>
      <c r="D252" s="500" t="s">
        <v>887</v>
      </c>
      <c r="E252" s="534" t="e">
        <f>IF(OR(HoursWZ1=24,HoursWZ2=24),Calculations!AG27,Calculations!AG53)</f>
        <v>#N/A</v>
      </c>
      <c r="F252" s="448" t="s">
        <v>1082</v>
      </c>
      <c r="G252" s="534" t="e">
        <f>IF(OR(HoursWZ1=24,HoursWZ2=24),Calculations!AG83,Calculations!AG109)</f>
        <v>#N/A</v>
      </c>
      <c r="H252" s="448" t="s">
        <v>1082</v>
      </c>
      <c r="I252" s="541" t="e">
        <f t="shared" si="6"/>
        <v>#N/A</v>
      </c>
      <c r="J252" s="448" t="s">
        <v>1082</v>
      </c>
    </row>
    <row r="253" spans="2:10" x14ac:dyDescent="0.25">
      <c r="B253" s="536"/>
      <c r="C253" s="433" t="str">
        <f>IF(OR(HoursWZ1=24,HoursWZ2=24),"6:00 PM","19 hours late, cumulative")</f>
        <v>6:00 PM</v>
      </c>
      <c r="D253" s="500" t="s">
        <v>887</v>
      </c>
      <c r="E253" s="534" t="e">
        <f>IF(OR(HoursWZ1=24,HoursWZ2=24),Calculations!AG28,Calculations!AG54)</f>
        <v>#N/A</v>
      </c>
      <c r="F253" s="448" t="s">
        <v>1082</v>
      </c>
      <c r="G253" s="534" t="e">
        <f>IF(OR(HoursWZ1=24,HoursWZ2=24),Calculations!AG84,Calculations!AG110)</f>
        <v>#N/A</v>
      </c>
      <c r="H253" s="448" t="s">
        <v>1082</v>
      </c>
      <c r="I253" s="541" t="e">
        <f t="shared" si="6"/>
        <v>#N/A</v>
      </c>
      <c r="J253" s="448" t="s">
        <v>1082</v>
      </c>
    </row>
    <row r="254" spans="2:10" x14ac:dyDescent="0.25">
      <c r="B254" s="536"/>
      <c r="C254" s="433" t="str">
        <f>IF(OR(HoursWZ1=24,HoursWZ2=24),"7:00 PM","20 hours late, cumulative")</f>
        <v>7:00 PM</v>
      </c>
      <c r="D254" s="500" t="s">
        <v>887</v>
      </c>
      <c r="E254" s="534" t="e">
        <f>IF(OR(HoursWZ1=24,HoursWZ2=24),Calculations!AG29,Calculations!AG55)</f>
        <v>#N/A</v>
      </c>
      <c r="F254" s="448" t="s">
        <v>1082</v>
      </c>
      <c r="G254" s="534" t="e">
        <f>IF(OR(HoursWZ1=24,HoursWZ2=24),Calculations!AG85,Calculations!AG111)</f>
        <v>#N/A</v>
      </c>
      <c r="H254" s="448" t="s">
        <v>1082</v>
      </c>
      <c r="I254" s="541" t="e">
        <f t="shared" si="6"/>
        <v>#N/A</v>
      </c>
      <c r="J254" s="448" t="s">
        <v>1082</v>
      </c>
    </row>
    <row r="255" spans="2:10" x14ac:dyDescent="0.25">
      <c r="B255" s="536"/>
      <c r="C255" s="433" t="str">
        <f>IF(OR(HoursWZ1=24,HoursWZ2=24),"8:00 PM","21 hours late, cumulative")</f>
        <v>8:00 PM</v>
      </c>
      <c r="D255" s="500" t="s">
        <v>887</v>
      </c>
      <c r="E255" s="534" t="e">
        <f>IF(OR(HoursWZ1=24,HoursWZ2=24),Calculations!AG30,Calculations!AG56)</f>
        <v>#N/A</v>
      </c>
      <c r="F255" s="448" t="s">
        <v>1082</v>
      </c>
      <c r="G255" s="534" t="e">
        <f>IF(OR(HoursWZ1=24,HoursWZ2=24),Calculations!AG86,Calculations!AG112)</f>
        <v>#N/A</v>
      </c>
      <c r="H255" s="448" t="s">
        <v>1082</v>
      </c>
      <c r="I255" s="541" t="e">
        <f t="shared" si="6"/>
        <v>#N/A</v>
      </c>
      <c r="J255" s="448" t="s">
        <v>1082</v>
      </c>
    </row>
    <row r="256" spans="2:10" x14ac:dyDescent="0.25">
      <c r="B256" s="536"/>
      <c r="C256" s="433" t="str">
        <f>IF(OR(HoursWZ1=24,HoursWZ2=24),"9:00 PM","22 hours late, cumulative")</f>
        <v>9:00 PM</v>
      </c>
      <c r="D256" s="500" t="s">
        <v>887</v>
      </c>
      <c r="E256" s="534" t="e">
        <f>IF(OR(HoursWZ1=24,HoursWZ2=24),Calculations!AG31,Calculations!AG57)</f>
        <v>#N/A</v>
      </c>
      <c r="F256" s="448" t="s">
        <v>1082</v>
      </c>
      <c r="G256" s="534" t="e">
        <f>IF(OR(HoursWZ1=24,HoursWZ2=24),Calculations!AG87,Calculations!AG113)</f>
        <v>#N/A</v>
      </c>
      <c r="H256" s="448" t="s">
        <v>1082</v>
      </c>
      <c r="I256" s="541" t="e">
        <f t="shared" si="6"/>
        <v>#N/A</v>
      </c>
      <c r="J256" s="448" t="s">
        <v>1082</v>
      </c>
    </row>
    <row r="257" spans="2:10" x14ac:dyDescent="0.25">
      <c r="B257" s="536"/>
      <c r="C257" s="433" t="str">
        <f>IF(OR(HoursWZ1=24,HoursWZ2=24),"10:00 PM","23 hours late, cumulative")</f>
        <v>10:00 PM</v>
      </c>
      <c r="D257" s="500" t="s">
        <v>887</v>
      </c>
      <c r="E257" s="534" t="e">
        <f>IF(OR(HoursWZ1=24,HoursWZ2=24),Calculations!AG32,Calculations!AG58)</f>
        <v>#N/A</v>
      </c>
      <c r="F257" s="448" t="s">
        <v>1082</v>
      </c>
      <c r="G257" s="534" t="e">
        <f>IF(OR(HoursWZ1=24,HoursWZ2=24),Calculations!AG88,Calculations!AG114)</f>
        <v>#N/A</v>
      </c>
      <c r="H257" s="448" t="s">
        <v>1082</v>
      </c>
      <c r="I257" s="541" t="e">
        <f t="shared" si="6"/>
        <v>#N/A</v>
      </c>
      <c r="J257" s="448" t="s">
        <v>1082</v>
      </c>
    </row>
    <row r="258" spans="2:10" x14ac:dyDescent="0.25">
      <c r="B258" s="537"/>
      <c r="C258" s="433" t="str">
        <f>IF(OR(HoursWZ1=24,HoursWZ2=24),"11:00 PM","One Full Day, cumulative")</f>
        <v>11:00 PM</v>
      </c>
      <c r="D258" s="500" t="s">
        <v>887</v>
      </c>
      <c r="E258" s="552" t="e">
        <f>IF(OR(HoursWZ1=24,HoursWZ2=24),Calculations!AG33,Calculations!AG59)</f>
        <v>#N/A</v>
      </c>
      <c r="F258" s="448" t="s">
        <v>1082</v>
      </c>
      <c r="G258" s="534" t="e">
        <f>IF(OR(HoursWZ1=24,HoursWZ2=24),Calculations!AG89,Calculations!AG115)</f>
        <v>#N/A</v>
      </c>
      <c r="H258" s="448" t="s">
        <v>1082</v>
      </c>
      <c r="I258" s="541" t="e">
        <f t="shared" si="6"/>
        <v>#N/A</v>
      </c>
      <c r="J258" s="448" t="s">
        <v>1082</v>
      </c>
    </row>
    <row r="259" spans="2:10" x14ac:dyDescent="0.25">
      <c r="B259" s="530"/>
      <c r="C259" s="475" t="s">
        <v>1107</v>
      </c>
      <c r="D259" s="177" t="s">
        <v>887</v>
      </c>
      <c r="E259" s="476" t="e">
        <f>(Calculations!AL34)*Duration1</f>
        <v>#N/A</v>
      </c>
      <c r="F259" s="477" t="s">
        <v>1082</v>
      </c>
      <c r="G259" s="476" t="e">
        <f>(Calculations!AL90)*Duration2</f>
        <v>#N/A</v>
      </c>
      <c r="H259" s="477" t="s">
        <v>1082</v>
      </c>
      <c r="I259" s="476" t="e">
        <f>E259+G259</f>
        <v>#N/A</v>
      </c>
      <c r="J259" s="477" t="s">
        <v>1082</v>
      </c>
    </row>
    <row r="260" spans="2:10" x14ac:dyDescent="0.25">
      <c r="B260" s="531"/>
      <c r="C260" s="527" t="s">
        <v>1079</v>
      </c>
      <c r="D260" s="528" t="s">
        <v>887</v>
      </c>
      <c r="E260" s="529" t="e">
        <f>(Calculations!AL34)</f>
        <v>#N/A</v>
      </c>
      <c r="F260" s="477" t="s">
        <v>1082</v>
      </c>
      <c r="G260" s="529" t="e">
        <f>(Calculations!AL91)</f>
        <v>#N/A</v>
      </c>
      <c r="H260" s="477" t="s">
        <v>1082</v>
      </c>
      <c r="I260" s="529" t="e">
        <f>E260+G260</f>
        <v>#N/A</v>
      </c>
      <c r="J260" s="477" t="s">
        <v>1082</v>
      </c>
    </row>
    <row r="261" spans="2:10" x14ac:dyDescent="0.25">
      <c r="B261" s="531"/>
      <c r="C261" s="475" t="str">
        <f>IF(OR(HoursWZ1=24,HoursWZ2=24),"12:00 AM","1 hour late")</f>
        <v>12:00 AM</v>
      </c>
      <c r="D261" s="177" t="s">
        <v>887</v>
      </c>
      <c r="E261" s="476" t="e">
        <f>IF(OR(HoursWZ1=24,HoursWZ2=24),Calculations!AL10,Calculations!AL36)</f>
        <v>#N/A</v>
      </c>
      <c r="F261" s="477" t="s">
        <v>1082</v>
      </c>
      <c r="G261" s="476" t="e">
        <f>IF(OR(HoursWZ1=24,HoursWZ2=24),Calculations!AL66,Calculations!AL92)</f>
        <v>#N/A</v>
      </c>
      <c r="H261" s="477" t="s">
        <v>1082</v>
      </c>
      <c r="I261" s="476" t="e">
        <f t="shared" ref="I261:I284" si="7">IF(OR(E261="-",G261="-"),"-",E261+G261)</f>
        <v>#N/A</v>
      </c>
      <c r="J261" s="477" t="s">
        <v>1082</v>
      </c>
    </row>
    <row r="262" spans="2:10" x14ac:dyDescent="0.25">
      <c r="B262" s="531"/>
      <c r="C262" s="475" t="str">
        <f>IF(OR(HoursWZ1=24,HoursWZ2=24),"1:00 AM","2 hours late, cumulative")</f>
        <v>1:00 AM</v>
      </c>
      <c r="D262" s="177" t="s">
        <v>887</v>
      </c>
      <c r="E262" s="476" t="e">
        <f>IF(OR(HoursWZ1=24,HoursWZ2=24),Calculations!AL11,Calculations!AL37)</f>
        <v>#N/A</v>
      </c>
      <c r="F262" s="477" t="s">
        <v>1082</v>
      </c>
      <c r="G262" s="476" t="e">
        <f>IF(OR(HoursWZ1=24,HoursWZ2=24),Calculations!AL67,Calculations!AL93)</f>
        <v>#N/A</v>
      </c>
      <c r="H262" s="477" t="s">
        <v>1082</v>
      </c>
      <c r="I262" s="476" t="e">
        <f t="shared" si="7"/>
        <v>#N/A</v>
      </c>
      <c r="J262" s="477" t="s">
        <v>1082</v>
      </c>
    </row>
    <row r="263" spans="2:10" x14ac:dyDescent="0.25">
      <c r="B263" s="531"/>
      <c r="C263" s="475" t="str">
        <f>IF(OR(HoursWZ1=24,HoursWZ2=24),"2:00 AM","3 hours late, cumulative")</f>
        <v>2:00 AM</v>
      </c>
      <c r="D263" s="177" t="s">
        <v>887</v>
      </c>
      <c r="E263" s="476" t="e">
        <f>IF(OR(HoursWZ1=24,HoursWZ2=24),Calculations!AL12,Calculations!AL38)</f>
        <v>#N/A</v>
      </c>
      <c r="F263" s="477" t="s">
        <v>1082</v>
      </c>
      <c r="G263" s="476" t="e">
        <f>IF(OR(HoursWZ1=24,HoursWZ2=24),Calculations!AL68,Calculations!AL94)</f>
        <v>#N/A</v>
      </c>
      <c r="H263" s="477" t="s">
        <v>1082</v>
      </c>
      <c r="I263" s="476" t="e">
        <f t="shared" si="7"/>
        <v>#N/A</v>
      </c>
      <c r="J263" s="477" t="s">
        <v>1082</v>
      </c>
    </row>
    <row r="264" spans="2:10" x14ac:dyDescent="0.25">
      <c r="B264" s="531"/>
      <c r="C264" s="475" t="str">
        <f>IF(OR(HoursWZ1=24,HoursWZ2=24),"3:00 AM","4 hours late, cumulative")</f>
        <v>3:00 AM</v>
      </c>
      <c r="D264" s="177" t="s">
        <v>887</v>
      </c>
      <c r="E264" s="476" t="e">
        <f>IF(OR(HoursWZ1=24,HoursWZ2=24),Calculations!AL13,Calculations!AL39)</f>
        <v>#N/A</v>
      </c>
      <c r="F264" s="477" t="s">
        <v>1082</v>
      </c>
      <c r="G264" s="476" t="e">
        <f>IF(OR(HoursWZ1=24,HoursWZ2=24),Calculations!AL69,Calculations!AL95)</f>
        <v>#N/A</v>
      </c>
      <c r="H264" s="477" t="s">
        <v>1082</v>
      </c>
      <c r="I264" s="476" t="e">
        <f t="shared" si="7"/>
        <v>#N/A</v>
      </c>
      <c r="J264" s="477" t="s">
        <v>1082</v>
      </c>
    </row>
    <row r="265" spans="2:10" x14ac:dyDescent="0.25">
      <c r="B265" s="531"/>
      <c r="C265" s="475" t="str">
        <f>IF(OR(HoursWZ1=24,HoursWZ2=24),"4:00 AM","5 hours late, cumulative")</f>
        <v>4:00 AM</v>
      </c>
      <c r="D265" s="177" t="s">
        <v>887</v>
      </c>
      <c r="E265" s="476" t="e">
        <f>IF(OR(HoursWZ1=24,HoursWZ2=24),Calculations!AL14,Calculations!AL40)</f>
        <v>#N/A</v>
      </c>
      <c r="F265" s="477" t="s">
        <v>1082</v>
      </c>
      <c r="G265" s="476" t="e">
        <f>IF(OR(HoursWZ1=24,HoursWZ2=24),Calculations!AL70,Calculations!AL96)</f>
        <v>#N/A</v>
      </c>
      <c r="H265" s="477" t="s">
        <v>1082</v>
      </c>
      <c r="I265" s="476" t="e">
        <f t="shared" si="7"/>
        <v>#N/A</v>
      </c>
      <c r="J265" s="477" t="s">
        <v>1082</v>
      </c>
    </row>
    <row r="266" spans="2:10" x14ac:dyDescent="0.25">
      <c r="B266" s="531"/>
      <c r="C266" s="475" t="str">
        <f>IF(OR(HoursWZ1=24,HoursWZ2=24),"5:00 AM","6 hours late, cumulative")</f>
        <v>5:00 AM</v>
      </c>
      <c r="D266" s="177" t="s">
        <v>887</v>
      </c>
      <c r="E266" s="476" t="e">
        <f>IF(OR(HoursWZ1=24,HoursWZ2=24),Calculations!AL15,Calculations!AL41)</f>
        <v>#N/A</v>
      </c>
      <c r="F266" s="477" t="s">
        <v>1082</v>
      </c>
      <c r="G266" s="476" t="e">
        <f>IF(OR(HoursWZ1=24,HoursWZ2=24),Calculations!AL71,Calculations!AL97)</f>
        <v>#N/A</v>
      </c>
      <c r="H266" s="477" t="s">
        <v>1082</v>
      </c>
      <c r="I266" s="476" t="e">
        <f t="shared" si="7"/>
        <v>#N/A</v>
      </c>
      <c r="J266" s="477" t="s">
        <v>1082</v>
      </c>
    </row>
    <row r="267" spans="2:10" x14ac:dyDescent="0.25">
      <c r="B267" s="531"/>
      <c r="C267" s="475" t="str">
        <f>IF(OR(HoursWZ1=24,HoursWZ2=24),"6:00 AM","7 hours late, cumulative")</f>
        <v>6:00 AM</v>
      </c>
      <c r="D267" s="177" t="s">
        <v>887</v>
      </c>
      <c r="E267" s="476" t="e">
        <f>IF(OR(HoursWZ1=24,HoursWZ2=24),Calculations!AL16,Calculations!AL42)</f>
        <v>#N/A</v>
      </c>
      <c r="F267" s="477" t="s">
        <v>1082</v>
      </c>
      <c r="G267" s="476" t="e">
        <f>IF(OR(HoursWZ1=24,HoursWZ2=24),Calculations!AL72,Calculations!AL98)</f>
        <v>#N/A</v>
      </c>
      <c r="H267" s="477" t="s">
        <v>1082</v>
      </c>
      <c r="I267" s="476" t="e">
        <f t="shared" si="7"/>
        <v>#N/A</v>
      </c>
      <c r="J267" s="477" t="s">
        <v>1082</v>
      </c>
    </row>
    <row r="268" spans="2:10" x14ac:dyDescent="0.25">
      <c r="B268" s="531"/>
      <c r="C268" s="475" t="str">
        <f>IF(OR(HoursWZ1=24,HoursWZ2=24),"7:00 AM","8 hours late, cumulative")</f>
        <v>7:00 AM</v>
      </c>
      <c r="D268" s="177" t="s">
        <v>887</v>
      </c>
      <c r="E268" s="476" t="e">
        <f>IF(OR(HoursWZ1=24,HoursWZ2=24),Calculations!AL17,Calculations!AL43)</f>
        <v>#N/A</v>
      </c>
      <c r="F268" s="477" t="s">
        <v>1082</v>
      </c>
      <c r="G268" s="476" t="e">
        <f>IF(OR(HoursWZ1=24,HoursWZ2=24),Calculations!AL73,Calculations!AL99)</f>
        <v>#N/A</v>
      </c>
      <c r="H268" s="477" t="s">
        <v>1082</v>
      </c>
      <c r="I268" s="476" t="e">
        <f t="shared" si="7"/>
        <v>#N/A</v>
      </c>
      <c r="J268" s="477" t="s">
        <v>1082</v>
      </c>
    </row>
    <row r="269" spans="2:10" x14ac:dyDescent="0.25">
      <c r="B269" s="811" t="s">
        <v>1147</v>
      </c>
      <c r="C269" s="475" t="str">
        <f>IF(OR(HoursWZ1=24,HoursWZ2=24),"8:00 AM","9 hours late, cumulative")</f>
        <v>8:00 AM</v>
      </c>
      <c r="D269" s="177" t="s">
        <v>887</v>
      </c>
      <c r="E269" s="476" t="e">
        <f>IF(OR(HoursWZ1=24,HoursWZ2=24),Calculations!AL18,Calculations!AL44)</f>
        <v>#N/A</v>
      </c>
      <c r="F269" s="477" t="s">
        <v>1082</v>
      </c>
      <c r="G269" s="476" t="e">
        <f>IF(OR(HoursWZ1=24,HoursWZ2=24),Calculations!AL74,Calculations!AL100)</f>
        <v>#N/A</v>
      </c>
      <c r="H269" s="477" t="s">
        <v>1082</v>
      </c>
      <c r="I269" s="476" t="e">
        <f t="shared" si="7"/>
        <v>#N/A</v>
      </c>
      <c r="J269" s="477" t="s">
        <v>1082</v>
      </c>
    </row>
    <row r="270" spans="2:10" x14ac:dyDescent="0.25">
      <c r="B270" s="811"/>
      <c r="C270" s="475" t="str">
        <f>IF(OR(HoursWZ1=24,HoursWZ2=24),"9:00 AM","10 hours late, cumulative")</f>
        <v>9:00 AM</v>
      </c>
      <c r="D270" s="177" t="s">
        <v>887</v>
      </c>
      <c r="E270" s="476" t="e">
        <f>IF(OR(HoursWZ1=24,HoursWZ2=24),Calculations!AL19,Calculations!AL45)</f>
        <v>#N/A</v>
      </c>
      <c r="F270" s="477" t="s">
        <v>1082</v>
      </c>
      <c r="G270" s="476" t="e">
        <f>IF(OR(HoursWZ1=24,HoursWZ2=24),Calculations!AL75,Calculations!AL101)</f>
        <v>#N/A</v>
      </c>
      <c r="H270" s="477" t="s">
        <v>1082</v>
      </c>
      <c r="I270" s="476" t="e">
        <f t="shared" si="7"/>
        <v>#N/A</v>
      </c>
      <c r="J270" s="477" t="s">
        <v>1082</v>
      </c>
    </row>
    <row r="271" spans="2:10" x14ac:dyDescent="0.25">
      <c r="B271" s="811"/>
      <c r="C271" s="475" t="str">
        <f>IF(OR(HoursWZ1=24,HoursWZ2=24),"10:00 AM","11 hours late, cumulative")</f>
        <v>10:00 AM</v>
      </c>
      <c r="D271" s="177" t="s">
        <v>887</v>
      </c>
      <c r="E271" s="476" t="e">
        <f>IF(OR(HoursWZ1=24,HoursWZ2=24),Calculations!AL20,Calculations!AL46)</f>
        <v>#N/A</v>
      </c>
      <c r="F271" s="477" t="s">
        <v>1082</v>
      </c>
      <c r="G271" s="476" t="e">
        <f>IF(OR(HoursWZ1=24,HoursWZ2=24),Calculations!AL76,Calculations!AL102)</f>
        <v>#N/A</v>
      </c>
      <c r="H271" s="477" t="s">
        <v>1082</v>
      </c>
      <c r="I271" s="476" t="e">
        <f t="shared" si="7"/>
        <v>#N/A</v>
      </c>
      <c r="J271" s="477" t="s">
        <v>1082</v>
      </c>
    </row>
    <row r="272" spans="2:10" x14ac:dyDescent="0.25">
      <c r="B272" s="811"/>
      <c r="C272" s="475" t="str">
        <f>IF(OR(HoursWZ1=24,HoursWZ2=24),"11:00 AM","12 hours late, cumulative")</f>
        <v>11:00 AM</v>
      </c>
      <c r="D272" s="177" t="s">
        <v>887</v>
      </c>
      <c r="E272" s="476" t="e">
        <f>IF(OR(HoursWZ1=24,HoursWZ2=24),Calculations!AL21,Calculations!AL47)</f>
        <v>#N/A</v>
      </c>
      <c r="F272" s="477" t="s">
        <v>1082</v>
      </c>
      <c r="G272" s="476" t="e">
        <f>IF(OR(HoursWZ1=24,HoursWZ2=24),Calculations!AL77,Calculations!AL103)</f>
        <v>#N/A</v>
      </c>
      <c r="H272" s="477" t="s">
        <v>1082</v>
      </c>
      <c r="I272" s="476" t="e">
        <f t="shared" si="7"/>
        <v>#N/A</v>
      </c>
      <c r="J272" s="477" t="s">
        <v>1082</v>
      </c>
    </row>
    <row r="273" spans="2:10" x14ac:dyDescent="0.25">
      <c r="B273" s="811"/>
      <c r="C273" s="475" t="str">
        <f>IF(OR(HoursWZ1=24,HoursWZ2=24),"12:00 PM","13 hours late, cumulative")</f>
        <v>12:00 PM</v>
      </c>
      <c r="D273" s="177" t="s">
        <v>887</v>
      </c>
      <c r="E273" s="476" t="e">
        <f>IF(OR(HoursWZ1=24,HoursWZ2=24),Calculations!AL22,Calculations!AL48)</f>
        <v>#N/A</v>
      </c>
      <c r="F273" s="477" t="s">
        <v>1082</v>
      </c>
      <c r="G273" s="476" t="e">
        <f>IF(OR(HoursWZ1=24,HoursWZ2=24),Calculations!AL78,Calculations!AL104)</f>
        <v>#N/A</v>
      </c>
      <c r="H273" s="477" t="s">
        <v>1082</v>
      </c>
      <c r="I273" s="476" t="e">
        <f t="shared" si="7"/>
        <v>#N/A</v>
      </c>
      <c r="J273" s="477" t="s">
        <v>1082</v>
      </c>
    </row>
    <row r="274" spans="2:10" x14ac:dyDescent="0.25">
      <c r="B274" s="806" t="str">
        <f>ThirdDetourName</f>
        <v>Tertiary Detour</v>
      </c>
      <c r="C274" s="475" t="str">
        <f>IF(OR(HoursWZ1=24,HoursWZ2=24),"1:00 PM","14 hours late, cumulative")</f>
        <v>1:00 PM</v>
      </c>
      <c r="D274" s="177" t="s">
        <v>887</v>
      </c>
      <c r="E274" s="476" t="e">
        <f>IF(OR(HoursWZ1=24,HoursWZ2=24),Calculations!AL23,Calculations!AL49)</f>
        <v>#N/A</v>
      </c>
      <c r="F274" s="477" t="s">
        <v>1082</v>
      </c>
      <c r="G274" s="476" t="e">
        <f>IF(OR(HoursWZ1=24,HoursWZ2=24),Calculations!AL79,Calculations!AL105)</f>
        <v>#N/A</v>
      </c>
      <c r="H274" s="477" t="s">
        <v>1082</v>
      </c>
      <c r="I274" s="476" t="e">
        <f t="shared" si="7"/>
        <v>#N/A</v>
      </c>
      <c r="J274" s="477" t="s">
        <v>1082</v>
      </c>
    </row>
    <row r="275" spans="2:10" x14ac:dyDescent="0.25">
      <c r="B275" s="806"/>
      <c r="C275" s="475" t="str">
        <f>IF(OR(HoursWZ1=24,HoursWZ2=24),"2:00 PM","15 hours late, cumulative")</f>
        <v>2:00 PM</v>
      </c>
      <c r="D275" s="177" t="s">
        <v>887</v>
      </c>
      <c r="E275" s="476" t="e">
        <f>IF(OR(HoursWZ1=24,HoursWZ2=24),Calculations!AL24,Calculations!AL50)</f>
        <v>#N/A</v>
      </c>
      <c r="F275" s="477" t="s">
        <v>1082</v>
      </c>
      <c r="G275" s="476" t="e">
        <f>IF(OR(HoursWZ1=24,HoursWZ2=24),Calculations!AL80,Calculations!AL106)</f>
        <v>#N/A</v>
      </c>
      <c r="H275" s="477" t="s">
        <v>1082</v>
      </c>
      <c r="I275" s="476" t="e">
        <f t="shared" si="7"/>
        <v>#N/A</v>
      </c>
      <c r="J275" s="477" t="s">
        <v>1082</v>
      </c>
    </row>
    <row r="276" spans="2:10" x14ac:dyDescent="0.25">
      <c r="B276" s="531"/>
      <c r="C276" s="475" t="str">
        <f>IF(OR(HoursWZ1=24,HoursWZ2=24),"3:00 PM","16 hours late, cumulative")</f>
        <v>3:00 PM</v>
      </c>
      <c r="D276" s="177" t="s">
        <v>887</v>
      </c>
      <c r="E276" s="476" t="e">
        <f>IF(OR(HoursWZ1=24,HoursWZ2=24),Calculations!AL25,Calculations!AL51)</f>
        <v>#N/A</v>
      </c>
      <c r="F276" s="477" t="s">
        <v>1082</v>
      </c>
      <c r="G276" s="476" t="e">
        <f>IF(OR(HoursWZ1=24,HoursWZ2=24),Calculations!AL81,Calculations!AL107)</f>
        <v>#N/A</v>
      </c>
      <c r="H276" s="477" t="s">
        <v>1082</v>
      </c>
      <c r="I276" s="476" t="e">
        <f t="shared" si="7"/>
        <v>#N/A</v>
      </c>
      <c r="J276" s="477" t="s">
        <v>1082</v>
      </c>
    </row>
    <row r="277" spans="2:10" x14ac:dyDescent="0.25">
      <c r="B277" s="531"/>
      <c r="C277" s="475" t="str">
        <f>IF(OR(HoursWZ1=24,HoursWZ2=24),"4:00 PM","17 hours late, cumulative")</f>
        <v>4:00 PM</v>
      </c>
      <c r="D277" s="177" t="s">
        <v>887</v>
      </c>
      <c r="E277" s="476" t="e">
        <f>IF(OR(HoursWZ1=24,HoursWZ2=24),Calculations!AL26,Calculations!AL52)</f>
        <v>#N/A</v>
      </c>
      <c r="F277" s="477" t="s">
        <v>1082</v>
      </c>
      <c r="G277" s="476" t="e">
        <f>IF(OR(HoursWZ1=24,HoursWZ2=24),Calculations!AL82,Calculations!AL108)</f>
        <v>#N/A</v>
      </c>
      <c r="H277" s="477" t="s">
        <v>1082</v>
      </c>
      <c r="I277" s="476" t="e">
        <f t="shared" si="7"/>
        <v>#N/A</v>
      </c>
      <c r="J277" s="477" t="s">
        <v>1082</v>
      </c>
    </row>
    <row r="278" spans="2:10" x14ac:dyDescent="0.25">
      <c r="B278" s="531"/>
      <c r="C278" s="475" t="str">
        <f>IF(OR(HoursWZ1=24,HoursWZ2=24),"5:00 PM","18 hours late, cumulative")</f>
        <v>5:00 PM</v>
      </c>
      <c r="D278" s="177" t="s">
        <v>887</v>
      </c>
      <c r="E278" s="476" t="e">
        <f>IF(OR(HoursWZ1=24,HoursWZ2=24),Calculations!AL27,Calculations!AL53)</f>
        <v>#N/A</v>
      </c>
      <c r="F278" s="477" t="s">
        <v>1082</v>
      </c>
      <c r="G278" s="476" t="e">
        <f>IF(OR(HoursWZ1=24,HoursWZ2=24),Calculations!AL83,Calculations!AL109)</f>
        <v>#N/A</v>
      </c>
      <c r="H278" s="477" t="s">
        <v>1082</v>
      </c>
      <c r="I278" s="476" t="e">
        <f t="shared" si="7"/>
        <v>#N/A</v>
      </c>
      <c r="J278" s="477" t="s">
        <v>1082</v>
      </c>
    </row>
    <row r="279" spans="2:10" x14ac:dyDescent="0.25">
      <c r="B279" s="531"/>
      <c r="C279" s="475" t="str">
        <f>IF(OR(HoursWZ1=24,HoursWZ2=24),"6:00 PM","19 hours late, cumulative")</f>
        <v>6:00 PM</v>
      </c>
      <c r="D279" s="177" t="s">
        <v>887</v>
      </c>
      <c r="E279" s="476" t="e">
        <f>IF(OR(HoursWZ1=24,HoursWZ2=24),Calculations!AL28,Calculations!AL54)</f>
        <v>#N/A</v>
      </c>
      <c r="F279" s="477" t="s">
        <v>1082</v>
      </c>
      <c r="G279" s="476" t="e">
        <f>IF(OR(HoursWZ1=24,HoursWZ2=24),Calculations!AL84,Calculations!AL110)</f>
        <v>#N/A</v>
      </c>
      <c r="H279" s="477" t="s">
        <v>1082</v>
      </c>
      <c r="I279" s="476" t="e">
        <f t="shared" si="7"/>
        <v>#N/A</v>
      </c>
      <c r="J279" s="477" t="s">
        <v>1082</v>
      </c>
    </row>
    <row r="280" spans="2:10" x14ac:dyDescent="0.25">
      <c r="B280" s="531"/>
      <c r="C280" s="475" t="str">
        <f>IF(OR(HoursWZ1=24,HoursWZ2=24),"7:00 PM","20 hours late, cumulative")</f>
        <v>7:00 PM</v>
      </c>
      <c r="D280" s="177" t="s">
        <v>887</v>
      </c>
      <c r="E280" s="476" t="e">
        <f>IF(OR(HoursWZ1=24,HoursWZ2=24),Calculations!AL29,Calculations!AL55)</f>
        <v>#N/A</v>
      </c>
      <c r="F280" s="477" t="s">
        <v>1082</v>
      </c>
      <c r="G280" s="476" t="e">
        <f>IF(OR(HoursWZ1=24,HoursWZ2=24),Calculations!AL85,Calculations!AL111)</f>
        <v>#N/A</v>
      </c>
      <c r="H280" s="477" t="s">
        <v>1082</v>
      </c>
      <c r="I280" s="476" t="e">
        <f t="shared" si="7"/>
        <v>#N/A</v>
      </c>
      <c r="J280" s="477" t="s">
        <v>1082</v>
      </c>
    </row>
    <row r="281" spans="2:10" x14ac:dyDescent="0.25">
      <c r="B281" s="531"/>
      <c r="C281" s="475" t="str">
        <f>IF(OR(HoursWZ1=24,HoursWZ2=24),"8:00 PM","21 hours late, cumulative")</f>
        <v>8:00 PM</v>
      </c>
      <c r="D281" s="177" t="s">
        <v>887</v>
      </c>
      <c r="E281" s="476" t="e">
        <f>IF(OR(HoursWZ1=24,HoursWZ2=24),Calculations!AL30,Calculations!AL56)</f>
        <v>#N/A</v>
      </c>
      <c r="F281" s="477" t="s">
        <v>1082</v>
      </c>
      <c r="G281" s="476" t="e">
        <f>IF(OR(HoursWZ1=24,HoursWZ2=24),Calculations!AL86,Calculations!AL112)</f>
        <v>#N/A</v>
      </c>
      <c r="H281" s="477" t="s">
        <v>1082</v>
      </c>
      <c r="I281" s="476" t="e">
        <f t="shared" si="7"/>
        <v>#N/A</v>
      </c>
      <c r="J281" s="477" t="s">
        <v>1082</v>
      </c>
    </row>
    <row r="282" spans="2:10" x14ac:dyDescent="0.25">
      <c r="B282" s="531"/>
      <c r="C282" s="475" t="str">
        <f>IF(OR(HoursWZ1=24,HoursWZ2=24),"9:00 PM","22 hours late, cumulative")</f>
        <v>9:00 PM</v>
      </c>
      <c r="D282" s="177" t="s">
        <v>887</v>
      </c>
      <c r="E282" s="476" t="e">
        <f>IF(OR(HoursWZ1=24,HoursWZ2=24),Calculations!AL31,Calculations!AL57)</f>
        <v>#N/A</v>
      </c>
      <c r="F282" s="477" t="s">
        <v>1082</v>
      </c>
      <c r="G282" s="476" t="e">
        <f>IF(OR(HoursWZ1=24,HoursWZ2=24),Calculations!AL87,Calculations!AL113)</f>
        <v>#N/A</v>
      </c>
      <c r="H282" s="477" t="s">
        <v>1082</v>
      </c>
      <c r="I282" s="476" t="e">
        <f t="shared" si="7"/>
        <v>#N/A</v>
      </c>
      <c r="J282" s="477" t="s">
        <v>1082</v>
      </c>
    </row>
    <row r="283" spans="2:10" x14ac:dyDescent="0.25">
      <c r="B283" s="531"/>
      <c r="C283" s="475" t="str">
        <f>IF(OR(HoursWZ1=24,HoursWZ2=24),"10:00 PM","23 hours late, cumulative")</f>
        <v>10:00 PM</v>
      </c>
      <c r="D283" s="177" t="s">
        <v>887</v>
      </c>
      <c r="E283" s="476" t="e">
        <f>IF(OR(HoursWZ1=24,HoursWZ2=24),Calculations!AL32,Calculations!AL58)</f>
        <v>#N/A</v>
      </c>
      <c r="F283" s="477" t="s">
        <v>1082</v>
      </c>
      <c r="G283" s="476" t="e">
        <f>IF(OR(HoursWZ1=24,HoursWZ2=24),Calculations!AL88,Calculations!AL114)</f>
        <v>#N/A</v>
      </c>
      <c r="H283" s="477" t="s">
        <v>1082</v>
      </c>
      <c r="I283" s="476" t="e">
        <f t="shared" si="7"/>
        <v>#N/A</v>
      </c>
      <c r="J283" s="477" t="s">
        <v>1082</v>
      </c>
    </row>
    <row r="284" spans="2:10" x14ac:dyDescent="0.25">
      <c r="B284" s="532"/>
      <c r="C284" s="475" t="str">
        <f>IF(OR(HoursWZ1=24,HoursWZ2=24),"11:00 PM","One Full Day, cumulative")</f>
        <v>11:00 PM</v>
      </c>
      <c r="D284" s="177" t="s">
        <v>887</v>
      </c>
      <c r="E284" s="476" t="e">
        <f>IF(OR(HoursWZ1=24,HoursWZ2=24),Calculations!AL33,Calculations!AL59)</f>
        <v>#N/A</v>
      </c>
      <c r="F284" s="477" t="s">
        <v>1082</v>
      </c>
      <c r="G284" s="476" t="e">
        <f>IF(OR(HoursWZ1=24,HoursWZ2=24),Calculations!AL89,Calculations!AL115)</f>
        <v>#N/A</v>
      </c>
      <c r="H284" s="477" t="s">
        <v>1082</v>
      </c>
      <c r="I284" s="476" t="e">
        <f t="shared" si="7"/>
        <v>#N/A</v>
      </c>
      <c r="J284" s="477" t="s">
        <v>1082</v>
      </c>
    </row>
  </sheetData>
  <sheetProtection algorithmName="SHA-512" hashValue="8nDsUg+Va4Cy2DBQqzyXfJBYpVQDZt0RHRiTAJF069tf5EKsXx/j/Gw+VmE+ug0w13Yyk8KFMFi6Xsuml5gQUg==" saltValue="e70QUD7ug07GKYhckeG6sA==" spinCount="100000" sheet="1" objects="1" scenarios="1"/>
  <mergeCells count="60">
    <mergeCell ref="E20:J20"/>
    <mergeCell ref="E21:J21"/>
    <mergeCell ref="B243:B247"/>
    <mergeCell ref="B248:B249"/>
    <mergeCell ref="B269:B273"/>
    <mergeCell ref="B79:B84"/>
    <mergeCell ref="B73:B78"/>
    <mergeCell ref="B67:B72"/>
    <mergeCell ref="B117:B120"/>
    <mergeCell ref="B89:B96"/>
    <mergeCell ref="B54:B66"/>
    <mergeCell ref="E118:I118"/>
    <mergeCell ref="E119:I119"/>
    <mergeCell ref="E120:I120"/>
    <mergeCell ref="B97:B100"/>
    <mergeCell ref="B101:B104"/>
    <mergeCell ref="B274:B275"/>
    <mergeCell ref="B13:J14"/>
    <mergeCell ref="B85:B88"/>
    <mergeCell ref="B181:B206"/>
    <mergeCell ref="B222:B223"/>
    <mergeCell ref="B217:B221"/>
    <mergeCell ref="E121:I121"/>
    <mergeCell ref="E122:I122"/>
    <mergeCell ref="E124:I124"/>
    <mergeCell ref="E123:I123"/>
    <mergeCell ref="B131:B154"/>
    <mergeCell ref="B123:B124"/>
    <mergeCell ref="B125:B130"/>
    <mergeCell ref="B121:B122"/>
    <mergeCell ref="B30:B44"/>
    <mergeCell ref="E117:I117"/>
    <mergeCell ref="B105:B108"/>
    <mergeCell ref="B109:B112"/>
    <mergeCell ref="B113:B116"/>
    <mergeCell ref="E32:J32"/>
    <mergeCell ref="E31:I31"/>
    <mergeCell ref="E30:J30"/>
    <mergeCell ref="E34:I34"/>
    <mergeCell ref="E26:I26"/>
    <mergeCell ref="E33:I33"/>
    <mergeCell ref="E29:I29"/>
    <mergeCell ref="E28:I28"/>
    <mergeCell ref="E27:I27"/>
    <mergeCell ref="B19:B25"/>
    <mergeCell ref="E25:J25"/>
    <mergeCell ref="B155:B180"/>
    <mergeCell ref="B2:J2"/>
    <mergeCell ref="G18:H18"/>
    <mergeCell ref="E18:F18"/>
    <mergeCell ref="B26:B29"/>
    <mergeCell ref="B3:J3"/>
    <mergeCell ref="I18:J18"/>
    <mergeCell ref="B11:J11"/>
    <mergeCell ref="B10:J10"/>
    <mergeCell ref="B45:B53"/>
    <mergeCell ref="E24:J24"/>
    <mergeCell ref="E23:J23"/>
    <mergeCell ref="E22:J22"/>
    <mergeCell ref="E19:J19"/>
  </mergeCells>
  <conditionalFormatting sqref="H125:H154 F125:F154 J33:J35 J31 J26:J29 J156:J180 F156:F180 H156:H180 J89:J154 H89:H112 F89:F112 J37:J57 J66:J84 F35:F84 H35:H84">
    <cfRule type="cellIs" dxfId="54" priority="56" operator="equal">
      <formula>"U"</formula>
    </cfRule>
  </conditionalFormatting>
  <conditionalFormatting sqref="H125:H154 F125:F154 J33:J35 J31 J26:J29 J156:J180 F156:F180 H156:H180 J89:J154 H89:H112 F89:F112 J37:J57 J66:J84 F35:F84 H35:H84">
    <cfRule type="cellIs" dxfId="53" priority="55" operator="equal">
      <formula>"#"</formula>
    </cfRule>
  </conditionalFormatting>
  <conditionalFormatting sqref="J155 F155 H155">
    <cfRule type="cellIs" dxfId="52" priority="54" operator="equal">
      <formula>"U"</formula>
    </cfRule>
  </conditionalFormatting>
  <conditionalFormatting sqref="J155 F155 H155">
    <cfRule type="cellIs" dxfId="51" priority="53" operator="equal">
      <formula>"#"</formula>
    </cfRule>
  </conditionalFormatting>
  <conditionalFormatting sqref="H85 F85 J85">
    <cfRule type="cellIs" dxfId="50" priority="52" operator="equal">
      <formula>"U"</formula>
    </cfRule>
  </conditionalFormatting>
  <conditionalFormatting sqref="H85 F85 J85">
    <cfRule type="cellIs" dxfId="49" priority="51" operator="equal">
      <formula>"#"</formula>
    </cfRule>
  </conditionalFormatting>
  <conditionalFormatting sqref="H86 F86 J86">
    <cfRule type="cellIs" dxfId="48" priority="50" operator="equal">
      <formula>"U"</formula>
    </cfRule>
  </conditionalFormatting>
  <conditionalFormatting sqref="H86 F86 J86">
    <cfRule type="cellIs" dxfId="47" priority="49" operator="equal">
      <formula>"#"</formula>
    </cfRule>
  </conditionalFormatting>
  <conditionalFormatting sqref="H87 F87 J87">
    <cfRule type="cellIs" dxfId="46" priority="48" operator="equal">
      <formula>"U"</formula>
    </cfRule>
  </conditionalFormatting>
  <conditionalFormatting sqref="H87 F87 J87">
    <cfRule type="cellIs" dxfId="45" priority="47" operator="equal">
      <formula>"#"</formula>
    </cfRule>
  </conditionalFormatting>
  <conditionalFormatting sqref="H88 F88 J88">
    <cfRule type="cellIs" dxfId="44" priority="46" operator="equal">
      <formula>"U"</formula>
    </cfRule>
  </conditionalFormatting>
  <conditionalFormatting sqref="H88 F88 J88">
    <cfRule type="cellIs" dxfId="43" priority="45" operator="equal">
      <formula>"#"</formula>
    </cfRule>
  </conditionalFormatting>
  <conditionalFormatting sqref="J182:J206 F182:F183 H182:H183">
    <cfRule type="cellIs" dxfId="42" priority="44" operator="equal">
      <formula>"U"</formula>
    </cfRule>
  </conditionalFormatting>
  <conditionalFormatting sqref="J182:J206 F182:F183 H182:H183">
    <cfRule type="cellIs" dxfId="41" priority="43" operator="equal">
      <formula>"#"</formula>
    </cfRule>
  </conditionalFormatting>
  <conditionalFormatting sqref="J181 F181 H181">
    <cfRule type="cellIs" dxfId="40" priority="42" operator="equal">
      <formula>"U"</formula>
    </cfRule>
  </conditionalFormatting>
  <conditionalFormatting sqref="J181 F181 H181">
    <cfRule type="cellIs" dxfId="39" priority="41" operator="equal">
      <formula>"#"</formula>
    </cfRule>
  </conditionalFormatting>
  <conditionalFormatting sqref="J208:J232 F208:F209 H208:H209">
    <cfRule type="cellIs" dxfId="38" priority="40" operator="equal">
      <formula>"U"</formula>
    </cfRule>
  </conditionalFormatting>
  <conditionalFormatting sqref="J208:J232 F208:F209 H208:H209">
    <cfRule type="cellIs" dxfId="37" priority="39" operator="equal">
      <formula>"#"</formula>
    </cfRule>
  </conditionalFormatting>
  <conditionalFormatting sqref="J207 F207 H207">
    <cfRule type="cellIs" dxfId="36" priority="38" operator="equal">
      <formula>"U"</formula>
    </cfRule>
  </conditionalFormatting>
  <conditionalFormatting sqref="J207 F207 H207">
    <cfRule type="cellIs" dxfId="35" priority="37" operator="equal">
      <formula>"#"</formula>
    </cfRule>
  </conditionalFormatting>
  <conditionalFormatting sqref="F184:F206 H184:H206">
    <cfRule type="cellIs" dxfId="34" priority="36" operator="equal">
      <formula>"U"</formula>
    </cfRule>
  </conditionalFormatting>
  <conditionalFormatting sqref="F184:F206 H184:H206">
    <cfRule type="cellIs" dxfId="33" priority="35" operator="equal">
      <formula>"#"</formula>
    </cfRule>
  </conditionalFormatting>
  <conditionalFormatting sqref="F210:F232 H210:H232">
    <cfRule type="cellIs" dxfId="32" priority="34" operator="equal">
      <formula>"U"</formula>
    </cfRule>
  </conditionalFormatting>
  <conditionalFormatting sqref="F210:F232 H210:H232">
    <cfRule type="cellIs" dxfId="31" priority="33" operator="equal">
      <formula>"#"</formula>
    </cfRule>
  </conditionalFormatting>
  <conditionalFormatting sqref="J234:J258 F234:F235 H234:H235">
    <cfRule type="cellIs" dxfId="30" priority="32" operator="equal">
      <formula>"U"</formula>
    </cfRule>
  </conditionalFormatting>
  <conditionalFormatting sqref="J234:J258 F234:F235 H234:H235">
    <cfRule type="cellIs" dxfId="29" priority="31" operator="equal">
      <formula>"#"</formula>
    </cfRule>
  </conditionalFormatting>
  <conditionalFormatting sqref="J233 F233 H233">
    <cfRule type="cellIs" dxfId="28" priority="30" operator="equal">
      <formula>"U"</formula>
    </cfRule>
  </conditionalFormatting>
  <conditionalFormatting sqref="J233 F233 H233">
    <cfRule type="cellIs" dxfId="27" priority="29" operator="equal">
      <formula>"#"</formula>
    </cfRule>
  </conditionalFormatting>
  <conditionalFormatting sqref="F236:F258 H236:H258">
    <cfRule type="cellIs" dxfId="26" priority="26" operator="equal">
      <formula>"U"</formula>
    </cfRule>
  </conditionalFormatting>
  <conditionalFormatting sqref="F236:F258 H236:H258">
    <cfRule type="cellIs" dxfId="25" priority="25" operator="equal">
      <formula>"#"</formula>
    </cfRule>
  </conditionalFormatting>
  <conditionalFormatting sqref="J260:J284 F260:F284 H260:H284">
    <cfRule type="cellIs" dxfId="24" priority="24" operator="equal">
      <formula>"U"</formula>
    </cfRule>
  </conditionalFormatting>
  <conditionalFormatting sqref="J260:J284 F260:F284 H260:H284">
    <cfRule type="cellIs" dxfId="23" priority="23" operator="equal">
      <formula>"#"</formula>
    </cfRule>
  </conditionalFormatting>
  <conditionalFormatting sqref="J259 F259 H259">
    <cfRule type="cellIs" dxfId="22" priority="22" operator="equal">
      <formula>"U"</formula>
    </cfRule>
  </conditionalFormatting>
  <conditionalFormatting sqref="J259 F259 H259">
    <cfRule type="cellIs" dxfId="21" priority="21" operator="equal">
      <formula>"#"</formula>
    </cfRule>
  </conditionalFormatting>
  <conditionalFormatting sqref="J36">
    <cfRule type="cellIs" dxfId="20" priority="18" operator="equal">
      <formula>"U"</formula>
    </cfRule>
  </conditionalFormatting>
  <conditionalFormatting sqref="J36">
    <cfRule type="cellIs" dxfId="19" priority="17" operator="equal">
      <formula>"#"</formula>
    </cfRule>
  </conditionalFormatting>
  <conditionalFormatting sqref="J58">
    <cfRule type="cellIs" dxfId="18" priority="16" operator="equal">
      <formula>"U"</formula>
    </cfRule>
  </conditionalFormatting>
  <conditionalFormatting sqref="J58">
    <cfRule type="cellIs" dxfId="17" priority="15" operator="equal">
      <formula>"#"</formula>
    </cfRule>
  </conditionalFormatting>
  <conditionalFormatting sqref="J59">
    <cfRule type="cellIs" dxfId="16" priority="14" operator="equal">
      <formula>"U"</formula>
    </cfRule>
  </conditionalFormatting>
  <conditionalFormatting sqref="J59">
    <cfRule type="cellIs" dxfId="15" priority="13" operator="equal">
      <formula>"#"</formula>
    </cfRule>
  </conditionalFormatting>
  <conditionalFormatting sqref="J60">
    <cfRule type="cellIs" dxfId="14" priority="12" operator="equal">
      <formula>"U"</formula>
    </cfRule>
  </conditionalFormatting>
  <conditionalFormatting sqref="J60">
    <cfRule type="cellIs" dxfId="13" priority="11" operator="equal">
      <formula>"#"</formula>
    </cfRule>
  </conditionalFormatting>
  <conditionalFormatting sqref="J61">
    <cfRule type="cellIs" dxfId="12" priority="10" operator="equal">
      <formula>"U"</formula>
    </cfRule>
  </conditionalFormatting>
  <conditionalFormatting sqref="J61">
    <cfRule type="cellIs" dxfId="11" priority="9" operator="equal">
      <formula>"#"</formula>
    </cfRule>
  </conditionalFormatting>
  <conditionalFormatting sqref="J62">
    <cfRule type="cellIs" dxfId="10" priority="8" operator="equal">
      <formula>"U"</formula>
    </cfRule>
  </conditionalFormatting>
  <conditionalFormatting sqref="J62">
    <cfRule type="cellIs" dxfId="9" priority="7" operator="equal">
      <formula>"#"</formula>
    </cfRule>
  </conditionalFormatting>
  <conditionalFormatting sqref="J63">
    <cfRule type="cellIs" dxfId="8" priority="6" operator="equal">
      <formula>"U"</formula>
    </cfRule>
  </conditionalFormatting>
  <conditionalFormatting sqref="J63">
    <cfRule type="cellIs" dxfId="7" priority="5" operator="equal">
      <formula>"#"</formula>
    </cfRule>
  </conditionalFormatting>
  <conditionalFormatting sqref="J64">
    <cfRule type="cellIs" dxfId="6" priority="4" operator="equal">
      <formula>"U"</formula>
    </cfRule>
  </conditionalFormatting>
  <conditionalFormatting sqref="J64">
    <cfRule type="cellIs" dxfId="5" priority="3" operator="equal">
      <formula>"#"</formula>
    </cfRule>
  </conditionalFormatting>
  <conditionalFormatting sqref="J65">
    <cfRule type="cellIs" dxfId="4" priority="2" operator="equal">
      <formula>"U"</formula>
    </cfRule>
  </conditionalFormatting>
  <conditionalFormatting sqref="J65">
    <cfRule type="cellIs" dxfId="3" priority="1" operator="equal">
      <formula>"#"</formula>
    </cfRule>
  </conditionalFormatting>
  <printOptions horizontalCentered="1"/>
  <pageMargins left="0.7" right="0.7" top="0.5" bottom="0.75" header="2.0499999999999998" footer="0.3"/>
  <pageSetup scale="69" orientation="portrait" r:id="rId1"/>
  <headerFooter>
    <oddFooter>&amp;C&amp;14Page &amp;P
&amp;D &amp;T</oddFooter>
  </headerFooter>
  <rowBreaks count="5" manualBreakCount="5">
    <brk id="66" min="1" max="9" man="1"/>
    <brk id="116" min="1" max="9" man="1"/>
    <brk id="154" min="1" max="9" man="1"/>
    <brk id="180" min="1" max="9" man="1"/>
    <brk id="232"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2:W160"/>
  <sheetViews>
    <sheetView showGridLines="0" zoomScaleNormal="100" zoomScaleSheetLayoutView="90" workbookViewId="0"/>
  </sheetViews>
  <sheetFormatPr defaultRowHeight="15" x14ac:dyDescent="0.25"/>
  <cols>
    <col min="1" max="1" width="3.7109375" style="35" customWidth="1"/>
    <col min="2" max="2" width="11.5703125" style="35" customWidth="1"/>
    <col min="3" max="3" width="28.5703125" style="35" customWidth="1"/>
    <col min="4" max="4" width="2.7109375" style="35" customWidth="1"/>
    <col min="5" max="5" width="12.7109375" style="35" customWidth="1"/>
    <col min="6" max="6" width="2.7109375" style="35" customWidth="1"/>
    <col min="7" max="7" width="10.7109375" style="35" customWidth="1"/>
    <col min="8" max="8" width="7.5703125" style="35" bestFit="1" customWidth="1"/>
    <col min="9" max="9" width="2.7109375" style="35" customWidth="1"/>
    <col min="10" max="10" width="10.7109375" style="35" customWidth="1"/>
    <col min="11" max="11" width="7.5703125" style="35" bestFit="1" customWidth="1"/>
    <col min="12" max="12" width="11.140625" style="35" customWidth="1"/>
    <col min="13" max="13" width="6.140625" style="35" bestFit="1" customWidth="1"/>
    <col min="14" max="14" width="5.5703125" style="35" bestFit="1" customWidth="1"/>
    <col min="15" max="15" width="28.85546875" style="35" bestFit="1" customWidth="1"/>
    <col min="16" max="16" width="7.140625" style="35" bestFit="1" customWidth="1"/>
    <col min="17" max="17" width="5.5703125" style="35" bestFit="1" customWidth="1"/>
    <col min="18" max="18" width="3.7109375" style="35" customWidth="1"/>
    <col min="19" max="19" width="9.140625" style="35" customWidth="1"/>
    <col min="20" max="20" width="3.7109375" style="35" customWidth="1"/>
    <col min="21" max="21" width="20.28515625" style="35" customWidth="1"/>
    <col min="22" max="22" width="3.7109375" style="35" customWidth="1"/>
    <col min="23" max="23" width="3.28515625" style="35" bestFit="1" customWidth="1"/>
    <col min="24" max="24" width="6.42578125" style="35" customWidth="1"/>
    <col min="25" max="25" width="11.85546875" style="35" bestFit="1" customWidth="1"/>
    <col min="26" max="26" width="3.28515625" style="35" bestFit="1" customWidth="1"/>
    <col min="27" max="27" width="6.42578125" style="35" bestFit="1" customWidth="1"/>
    <col min="28" max="70" width="3.7109375" style="35" customWidth="1"/>
    <col min="71" max="16384" width="9.140625" style="35"/>
  </cols>
  <sheetData>
    <row r="2" spans="2:12" ht="36" x14ac:dyDescent="0.55000000000000004">
      <c r="B2" s="827" t="s">
        <v>374</v>
      </c>
      <c r="C2" s="827"/>
      <c r="D2" s="827"/>
      <c r="E2" s="827"/>
      <c r="F2" s="827"/>
      <c r="G2" s="827"/>
      <c r="H2" s="827"/>
      <c r="I2" s="827"/>
      <c r="J2" s="827"/>
      <c r="K2" s="827"/>
      <c r="L2" s="827"/>
    </row>
    <row r="3" spans="2:12" ht="24.75" customHeight="1" x14ac:dyDescent="0.25">
      <c r="B3" s="792" t="s">
        <v>375</v>
      </c>
      <c r="C3" s="792"/>
      <c r="D3" s="792"/>
      <c r="E3" s="792"/>
      <c r="F3" s="792"/>
      <c r="G3" s="792"/>
      <c r="H3" s="792"/>
      <c r="I3" s="792"/>
      <c r="J3" s="792"/>
      <c r="K3" s="792"/>
      <c r="L3" s="792"/>
    </row>
    <row r="8" spans="2:12" ht="21.75" thickBot="1" x14ac:dyDescent="0.4">
      <c r="C8" s="826" t="s">
        <v>1095</v>
      </c>
      <c r="D8" s="826"/>
      <c r="E8" s="826"/>
      <c r="F8" s="826"/>
      <c r="G8" s="826"/>
      <c r="H8" s="826"/>
      <c r="I8" s="826"/>
      <c r="J8" s="826"/>
      <c r="K8" s="487"/>
    </row>
    <row r="9" spans="2:12" ht="19.5" thickTop="1" x14ac:dyDescent="0.3">
      <c r="C9" s="821" t="s">
        <v>384</v>
      </c>
      <c r="D9" s="821"/>
      <c r="E9" s="821"/>
      <c r="F9" s="821"/>
      <c r="G9" s="821"/>
      <c r="H9" s="821"/>
      <c r="I9" s="821"/>
      <c r="J9" s="821"/>
      <c r="K9" s="480"/>
    </row>
    <row r="10" spans="2:12" ht="21.75" customHeight="1" x14ac:dyDescent="0.25">
      <c r="C10" s="824" t="e">
        <f>ErrorWarning</f>
        <v>#N/A</v>
      </c>
      <c r="D10" s="824"/>
      <c r="E10" s="824"/>
      <c r="F10" s="824"/>
      <c r="G10" s="824"/>
      <c r="H10" s="824"/>
      <c r="I10" s="824"/>
      <c r="J10" s="824"/>
      <c r="K10" s="824"/>
    </row>
    <row r="11" spans="2:12" s="568" customFormat="1" ht="19.5" customHeight="1" x14ac:dyDescent="0.25">
      <c r="C11" s="568" t="s">
        <v>1199</v>
      </c>
      <c r="D11" s="573"/>
      <c r="E11" s="823" t="str">
        <f>ProjectName</f>
        <v>Roadway Project</v>
      </c>
      <c r="F11" s="823"/>
      <c r="G11" s="823"/>
      <c r="H11" s="823"/>
      <c r="I11" s="823"/>
      <c r="J11" s="823"/>
      <c r="K11" s="823"/>
    </row>
    <row r="12" spans="2:12" s="568" customFormat="1" ht="19.5" customHeight="1" x14ac:dyDescent="0.25">
      <c r="C12" s="568" t="s">
        <v>1200</v>
      </c>
      <c r="D12" s="573"/>
      <c r="E12" s="823" t="str">
        <f>ScenarioDescription</f>
        <v>RULD Calculation</v>
      </c>
      <c r="F12" s="823"/>
      <c r="G12" s="823"/>
      <c r="H12" s="823"/>
      <c r="I12" s="823"/>
      <c r="J12" s="823"/>
      <c r="K12" s="823"/>
    </row>
    <row r="13" spans="2:12" ht="19.5" customHeight="1" x14ac:dyDescent="0.25">
      <c r="C13" t="s">
        <v>0</v>
      </c>
      <c r="E13" s="823" t="str">
        <f>District</f>
        <v>(choose a district)</v>
      </c>
      <c r="F13" s="823"/>
      <c r="G13" s="823"/>
      <c r="H13" s="823"/>
      <c r="I13" s="823"/>
      <c r="J13" s="823"/>
      <c r="K13" s="823"/>
    </row>
    <row r="14" spans="2:12" ht="20.100000000000001" customHeight="1" x14ac:dyDescent="0.25">
      <c r="C14" t="s">
        <v>1</v>
      </c>
      <c r="E14" s="829" t="str">
        <f>County</f>
        <v>(choose a county)</v>
      </c>
      <c r="F14" s="829"/>
      <c r="G14" s="829"/>
      <c r="H14" s="829"/>
      <c r="I14" s="829"/>
      <c r="J14" s="829"/>
      <c r="K14" s="829"/>
    </row>
    <row r="15" spans="2:12" ht="20.100000000000001" customHeight="1" x14ac:dyDescent="0.25">
      <c r="C15" t="s">
        <v>2</v>
      </c>
      <c r="E15" s="823">
        <f>Route</f>
        <v>0</v>
      </c>
      <c r="F15" s="823"/>
      <c r="G15" s="823"/>
      <c r="H15" s="823"/>
      <c r="I15" s="823"/>
      <c r="J15" s="823"/>
      <c r="K15" s="823"/>
    </row>
    <row r="16" spans="2:12" ht="20.100000000000001" customHeight="1" x14ac:dyDescent="0.25">
      <c r="C16" t="s">
        <v>3</v>
      </c>
      <c r="E16" s="823">
        <f>Section</f>
        <v>0</v>
      </c>
      <c r="F16" s="823"/>
      <c r="G16" s="823"/>
      <c r="H16" s="823"/>
      <c r="I16" s="823"/>
      <c r="J16" s="823"/>
      <c r="K16" s="823"/>
    </row>
    <row r="17" spans="2:23" ht="20.100000000000001" customHeight="1" x14ac:dyDescent="0.25">
      <c r="C17" s="35" t="s">
        <v>1109</v>
      </c>
      <c r="E17" s="830">
        <f>ContractAmount</f>
        <v>0</v>
      </c>
      <c r="F17" s="830"/>
      <c r="G17" s="830"/>
      <c r="H17" s="830"/>
      <c r="I17" s="830"/>
      <c r="J17" s="830"/>
      <c r="K17" s="830"/>
    </row>
    <row r="18" spans="2:23" ht="20.100000000000001" customHeight="1" x14ac:dyDescent="0.25">
      <c r="E18" s="471"/>
      <c r="F18" s="471"/>
    </row>
    <row r="19" spans="2:23" ht="20.100000000000001" customHeight="1" x14ac:dyDescent="0.25">
      <c r="C19" t="s">
        <v>1103</v>
      </c>
      <c r="E19" s="823" t="str">
        <f>Classification</f>
        <v>(choose a classification)</v>
      </c>
      <c r="F19" s="823"/>
      <c r="G19" s="823"/>
      <c r="H19" s="823"/>
      <c r="I19" s="823"/>
      <c r="J19" s="823"/>
      <c r="K19" s="823"/>
    </row>
    <row r="20" spans="2:23" ht="20.100000000000001" customHeight="1" x14ac:dyDescent="0.25">
      <c r="C20" t="s">
        <v>1099</v>
      </c>
      <c r="E20" s="832" t="e">
        <f>ADTexTOT</f>
        <v>#N/A</v>
      </c>
      <c r="F20" s="832"/>
      <c r="G20" s="832"/>
      <c r="H20" s="832"/>
      <c r="I20" s="832"/>
      <c r="J20" s="832"/>
      <c r="K20" s="832"/>
    </row>
    <row r="21" spans="2:23" ht="20.100000000000001" customHeight="1" x14ac:dyDescent="0.25">
      <c r="C21" t="s">
        <v>15</v>
      </c>
      <c r="E21" s="833" t="e">
        <f>ROUND(Values!N59/E20,2)</f>
        <v>#N/A</v>
      </c>
      <c r="F21" s="833"/>
      <c r="G21" s="833"/>
      <c r="H21" s="833"/>
      <c r="I21" s="833"/>
      <c r="J21" s="833"/>
      <c r="K21" s="833"/>
    </row>
    <row r="22" spans="2:23" ht="20.100000000000001" customHeight="1" x14ac:dyDescent="0.25">
      <c r="C22" t="s">
        <v>1186</v>
      </c>
      <c r="E22" s="825" t="str">
        <f>IF(OR(HoursWZ1&lt;24,HoursWZ2&lt;24),"Short-Term","Long-Term")</f>
        <v>Long-Term</v>
      </c>
      <c r="F22" s="825"/>
      <c r="G22" s="825"/>
      <c r="H22" s="825"/>
      <c r="I22" s="825"/>
      <c r="J22" s="825"/>
      <c r="K22" s="825"/>
      <c r="S22"/>
    </row>
    <row r="23" spans="2:23" ht="20.100000000000001" customHeight="1" x14ac:dyDescent="0.25">
      <c r="C23" s="35" t="s">
        <v>1187</v>
      </c>
      <c r="E23" s="825">
        <f>MAX(Duration1,Duration2)</f>
        <v>1</v>
      </c>
      <c r="F23" s="825"/>
      <c r="G23" s="825"/>
      <c r="H23" s="825"/>
      <c r="I23" s="825"/>
      <c r="J23" s="825"/>
      <c r="K23" s="825"/>
    </row>
    <row r="24" spans="2:23" ht="20.100000000000001" customHeight="1" x14ac:dyDescent="0.25">
      <c r="E24" s="471"/>
      <c r="F24" s="471"/>
    </row>
    <row r="25" spans="2:23" ht="20.100000000000001" customHeight="1" x14ac:dyDescent="0.25">
      <c r="C25" t="s">
        <v>409</v>
      </c>
      <c r="E25" s="822">
        <f>MAX(Length1,Length2)</f>
        <v>0</v>
      </c>
      <c r="F25" s="822"/>
      <c r="G25" s="822"/>
      <c r="H25" s="822"/>
      <c r="I25" s="822"/>
      <c r="J25" s="822"/>
      <c r="K25" s="822"/>
    </row>
    <row r="26" spans="2:23" ht="20.100000000000001" customHeight="1" x14ac:dyDescent="0.25">
      <c r="C26" t="s">
        <v>1101</v>
      </c>
      <c r="E26" s="823" t="str">
        <f>IF(OR(LanesEX1&gt;LanesWZ1,LanesEX2&gt;LanesWZ2),"Yes","No")</f>
        <v>No</v>
      </c>
      <c r="F26" s="823"/>
      <c r="G26" s="823"/>
      <c r="H26" s="823"/>
      <c r="I26" s="823"/>
      <c r="J26" s="823"/>
      <c r="K26" s="823"/>
    </row>
    <row r="27" spans="2:23" ht="20.100000000000001" customHeight="1" x14ac:dyDescent="0.25">
      <c r="C27" t="s">
        <v>1102</v>
      </c>
      <c r="E27" s="823" t="str">
        <f>IF(AND(D1length1="",D1length2="",D2length1="",D2length2="",D3length1="",D3length2=""),"No","Yes")</f>
        <v>No</v>
      </c>
      <c r="F27" s="823"/>
      <c r="G27" s="823"/>
      <c r="H27" s="823"/>
      <c r="I27" s="823"/>
      <c r="J27" s="823"/>
      <c r="K27" s="823"/>
    </row>
    <row r="28" spans="2:23" ht="20.100000000000001" customHeight="1" x14ac:dyDescent="0.25">
      <c r="C28" t="s">
        <v>1100</v>
      </c>
      <c r="E28" s="823" t="str">
        <f>IF(Values!N92="none","No","Yes")</f>
        <v>No</v>
      </c>
      <c r="F28" s="823"/>
      <c r="G28" s="823"/>
      <c r="H28" s="823"/>
      <c r="I28" s="823"/>
      <c r="J28" s="823"/>
      <c r="K28" s="823"/>
    </row>
    <row r="29" spans="2:23" ht="20.100000000000001" customHeight="1" x14ac:dyDescent="0.25">
      <c r="C29"/>
      <c r="E29" s="471"/>
      <c r="F29" s="471"/>
    </row>
    <row r="30" spans="2:23" ht="20.100000000000001" customHeight="1" x14ac:dyDescent="0.25">
      <c r="B30" s="46"/>
      <c r="C30" s="46"/>
      <c r="D30" s="46"/>
      <c r="E30" s="479" t="s">
        <v>239</v>
      </c>
      <c r="F30" s="479"/>
      <c r="G30" s="831" t="str">
        <f>FirstDirection</f>
        <v>Direction 1</v>
      </c>
      <c r="H30" s="831"/>
      <c r="I30" s="479"/>
      <c r="J30" s="831" t="str">
        <f>SecondDirection</f>
        <v>Direction 2</v>
      </c>
      <c r="K30" s="831"/>
      <c r="T30" s="46"/>
      <c r="U30" s="46"/>
      <c r="V30" s="46"/>
      <c r="W30" s="46"/>
    </row>
    <row r="31" spans="2:23" ht="20.100000000000001" customHeight="1" x14ac:dyDescent="0.25">
      <c r="B31" s="46"/>
      <c r="C31" s="46" t="s">
        <v>1108</v>
      </c>
      <c r="D31" s="46"/>
      <c r="E31" s="481" t="e">
        <f>G31+J31</f>
        <v>#N/A</v>
      </c>
      <c r="F31" s="89"/>
      <c r="G31" s="828" t="e">
        <f>Calculations!H35*Duration1</f>
        <v>#N/A</v>
      </c>
      <c r="H31" s="828"/>
      <c r="I31" s="89"/>
      <c r="J31" s="828" t="e">
        <f>Calculations!H91*Duration2</f>
        <v>#N/A</v>
      </c>
      <c r="K31" s="828"/>
      <c r="T31" s="46"/>
      <c r="U31" s="46"/>
      <c r="V31" s="46"/>
      <c r="W31" s="46"/>
    </row>
    <row r="32" spans="2:23" ht="20.100000000000001" customHeight="1" x14ac:dyDescent="0.25">
      <c r="B32" s="46"/>
      <c r="C32" s="485" t="str">
        <f>IF(E22="Short-Term","Total Hourly RULD","Total Daily RULD")</f>
        <v>Total Daily RULD</v>
      </c>
      <c r="D32" s="485"/>
      <c r="E32" s="486" t="e">
        <f>G32+J32</f>
        <v>#N/A</v>
      </c>
      <c r="F32" s="32"/>
      <c r="G32" s="820" t="e">
        <f>IF(Values!$I$87="Short-Term",Calculations!H$36,Calculations!H$35)</f>
        <v>#N/A</v>
      </c>
      <c r="H32" s="820"/>
      <c r="I32" s="474"/>
      <c r="J32" s="820" t="e">
        <f>IF(Values!$L$87="Short-Term",Calculations!H$92,Calculations!H$91)</f>
        <v>#N/A</v>
      </c>
      <c r="K32" s="820"/>
      <c r="T32" s="46"/>
      <c r="U32" s="46"/>
      <c r="V32" s="46"/>
      <c r="W32" s="46"/>
    </row>
    <row r="33" spans="3:23" ht="20.100000000000001" customHeight="1" x14ac:dyDescent="0.25">
      <c r="C33" s="35" t="str">
        <f>IF(E27="Yes","RULD from work zone","")</f>
        <v/>
      </c>
      <c r="E33" s="482" t="str">
        <f>IF(E27="Yes",G33+J33,"")</f>
        <v/>
      </c>
      <c r="G33" s="819" t="str">
        <f>IF(E27="Yes",IF(Values!$I$87="Short-Term",(Calculations!M$36+Calculations!R$36+Calculations!W$36),(Calculations!M$35+Calculations!R$35+Calculations!W$35)),"")</f>
        <v/>
      </c>
      <c r="H33" s="819"/>
      <c r="I33" s="478"/>
      <c r="J33" s="819" t="str">
        <f>IF(E27="Yes",IF(Values!$L$87="Short-Term",(Calculations!M$92+Calculations!R$92+Calculations!W$92),(Calculations!M$91+Calculations!R$91+Calculations!W$91)),"")</f>
        <v/>
      </c>
      <c r="K33" s="819"/>
      <c r="T33" s="46"/>
      <c r="U33" s="46"/>
      <c r="V33" s="46"/>
      <c r="W33" s="46"/>
    </row>
    <row r="34" spans="3:23" ht="20.100000000000001" customHeight="1" x14ac:dyDescent="0.25">
      <c r="C34" s="35" t="str">
        <f>IF(AND(D1length1="",D1length2=""),"",CONCATENATE("RULD from ",FirstDetourName))</f>
        <v/>
      </c>
      <c r="E34" s="482" t="str">
        <f>IF(AND(D1length1="",D1length2=""),"",G34+J34)</f>
        <v/>
      </c>
      <c r="G34" s="482" t="str">
        <f>IF(D1length1="","",IF(Values!$I$87="Short-Term",Calculations!AB$36,Calculations!AB$35))</f>
        <v/>
      </c>
      <c r="H34" s="483" t="str">
        <f>D1length1</f>
        <v/>
      </c>
      <c r="I34" s="478"/>
      <c r="J34" s="482" t="str">
        <f>IF(D1length2="","",IF(Values!$L$87="Short-Term",Calculations!AB$92,Calculations!AB$91))</f>
        <v/>
      </c>
      <c r="K34" s="483" t="str">
        <f>D1length2</f>
        <v/>
      </c>
      <c r="O34" s="35" t="str">
        <f>IF(P24="Short-Term","RULD for 4 hours late","")</f>
        <v/>
      </c>
      <c r="P34" s="460" t="str">
        <f>IF(P24="Short-Term",Calculations!R41+Calculations!R97,"")</f>
        <v/>
      </c>
      <c r="R34" s="46"/>
      <c r="S34" s="46"/>
      <c r="T34" s="46"/>
      <c r="U34" s="46"/>
      <c r="V34" s="46"/>
      <c r="W34" s="46"/>
    </row>
    <row r="35" spans="3:23" ht="20.100000000000001" customHeight="1" x14ac:dyDescent="0.25">
      <c r="C35" s="35" t="str">
        <f>IF(AND(D2length1="",D2length2=""),"",CONCATENATE("RULD from ",SecondDetourName))</f>
        <v/>
      </c>
      <c r="E35" s="482" t="str">
        <f>IF(AND(D2length1="",D2length2=""),"",G35+J35)</f>
        <v/>
      </c>
      <c r="G35" s="482" t="str">
        <f>IF(D2length1="","",IF(Values!$I$87="Short-Term",Calculations!AG$36,Calculations!AG$35))</f>
        <v/>
      </c>
      <c r="H35" s="483" t="str">
        <f>D2length1</f>
        <v/>
      </c>
      <c r="I35" s="478"/>
      <c r="J35" s="482" t="str">
        <f>IF(D2length2="","",IF(Values!$L$87="Short-Term",Calculations!AG$92,Calculations!AG$91))</f>
        <v/>
      </c>
      <c r="K35" s="483" t="str">
        <f>D2length2</f>
        <v/>
      </c>
    </row>
    <row r="36" spans="3:23" ht="20.100000000000001" customHeight="1" x14ac:dyDescent="0.25">
      <c r="C36" s="35" t="str">
        <f>IF(AND(D3length1="",D3length2=""),"",CONCATENATE("RULD from ",ThirdDetourName))</f>
        <v/>
      </c>
      <c r="E36" s="482" t="str">
        <f>IF(AND(D3length1="",D3length2=""),"",G36+J36)</f>
        <v/>
      </c>
      <c r="G36" s="482" t="str">
        <f>IF(D3length1="","",IF(Values!$I$87="Short-Term",Calculations!AL$36,Calculations!AL$35))</f>
        <v/>
      </c>
      <c r="H36" s="483" t="str">
        <f>D3length1</f>
        <v/>
      </c>
      <c r="I36" s="478"/>
      <c r="J36" s="482" t="str">
        <f>IF(D3length2="","",IF(Values!$L$87="Short-Term",Calculations!AL$92,Calculations!AL$91))</f>
        <v/>
      </c>
      <c r="K36" s="483" t="str">
        <f>D3length2</f>
        <v/>
      </c>
    </row>
    <row r="37" spans="3:23" ht="20.100000000000001" customHeight="1" x14ac:dyDescent="0.25"/>
    <row r="38" spans="3:23" ht="20.100000000000001" customHeight="1" x14ac:dyDescent="0.25"/>
    <row r="39" spans="3:23" ht="20.100000000000001" customHeight="1" x14ac:dyDescent="0.25">
      <c r="C39" s="48"/>
      <c r="D39" s="48"/>
      <c r="E39" s="48"/>
      <c r="F39" s="48"/>
      <c r="G39" s="48"/>
      <c r="H39" s="48"/>
      <c r="I39" s="48"/>
      <c r="J39" s="48"/>
      <c r="K39" s="48"/>
    </row>
    <row r="40" spans="3:23" ht="20.100000000000001" customHeight="1" x14ac:dyDescent="0.25">
      <c r="C40" s="37" t="s">
        <v>1105</v>
      </c>
      <c r="D40" s="37"/>
      <c r="E40" s="37"/>
      <c r="F40" s="37"/>
      <c r="G40" s="37" t="s">
        <v>1137</v>
      </c>
      <c r="H40" s="37"/>
      <c r="I40" s="37"/>
      <c r="J40" s="37"/>
      <c r="K40" s="484" t="s">
        <v>1104</v>
      </c>
    </row>
    <row r="41" spans="3:23" x14ac:dyDescent="0.25">
      <c r="K41" s="591" t="str">
        <f>CONCATENATE("Worksheet ",Instructions!D10)</f>
        <v>Worksheet 2.10.1</v>
      </c>
    </row>
    <row r="43" spans="3:23" ht="15" customHeight="1" x14ac:dyDescent="0.25"/>
    <row r="44" spans="3:23" ht="15" customHeight="1" x14ac:dyDescent="0.25"/>
    <row r="58" ht="15" customHeight="1" x14ac:dyDescent="0.25"/>
    <row r="66" ht="15" customHeight="1" x14ac:dyDescent="0.25"/>
    <row r="67" ht="15" customHeight="1" x14ac:dyDescent="0.25"/>
    <row r="76" ht="15" customHeight="1" x14ac:dyDescent="0.25"/>
    <row r="82" ht="15" customHeight="1" x14ac:dyDescent="0.25"/>
    <row r="88" ht="15" customHeight="1" x14ac:dyDescent="0.25"/>
    <row r="94" ht="15" customHeight="1" x14ac:dyDescent="0.25"/>
    <row r="102" ht="15" customHeight="1" x14ac:dyDescent="0.25"/>
    <row r="114" ht="15" customHeight="1" x14ac:dyDescent="0.25"/>
    <row r="118" ht="15" customHeight="1" x14ac:dyDescent="0.25"/>
    <row r="122" ht="15" customHeight="1" x14ac:dyDescent="0.25"/>
    <row r="128" ht="15" customHeight="1" x14ac:dyDescent="0.25"/>
    <row r="130" ht="15" customHeight="1" x14ac:dyDescent="0.25"/>
    <row r="136" ht="15" customHeight="1" x14ac:dyDescent="0.25"/>
    <row r="160" ht="15" customHeight="1" x14ac:dyDescent="0.25"/>
  </sheetData>
  <sheetProtection algorithmName="SHA-512" hashValue="a0TK+H3X1lFl13SeMPdoJQdwbV1P5JDhjdrwQd12u1UGn37K0/y0jm/sY+y+DQ9SmKQRabMUDV8gd7wha0hruQ==" saltValue="8L1Ll/jvAlLacWuy0tLeHA==" spinCount="100000" sheet="1" objects="1" scenarios="1"/>
  <mergeCells count="29">
    <mergeCell ref="C8:J8"/>
    <mergeCell ref="B3:L3"/>
    <mergeCell ref="B2:L2"/>
    <mergeCell ref="J31:K31"/>
    <mergeCell ref="G31:H31"/>
    <mergeCell ref="E13:K13"/>
    <mergeCell ref="E14:K14"/>
    <mergeCell ref="E15:K15"/>
    <mergeCell ref="E16:K16"/>
    <mergeCell ref="E17:K17"/>
    <mergeCell ref="G30:H30"/>
    <mergeCell ref="J30:K30"/>
    <mergeCell ref="E19:K19"/>
    <mergeCell ref="E20:K20"/>
    <mergeCell ref="E21:K21"/>
    <mergeCell ref="E22:K22"/>
    <mergeCell ref="G33:H33"/>
    <mergeCell ref="G32:H32"/>
    <mergeCell ref="J32:K32"/>
    <mergeCell ref="J33:K33"/>
    <mergeCell ref="C9:J9"/>
    <mergeCell ref="E25:K25"/>
    <mergeCell ref="E26:K26"/>
    <mergeCell ref="E27:K27"/>
    <mergeCell ref="E28:K28"/>
    <mergeCell ref="C10:K10"/>
    <mergeCell ref="E23:K23"/>
    <mergeCell ref="E12:K12"/>
    <mergeCell ref="E11:K11"/>
  </mergeCells>
  <conditionalFormatting sqref="P34">
    <cfRule type="cellIs" dxfId="2" priority="3" operator="notEqual">
      <formula>""</formula>
    </cfRule>
  </conditionalFormatting>
  <conditionalFormatting sqref="E33:E36 G33:H36 J33:K36">
    <cfRule type="notContainsBlanks" dxfId="1" priority="2">
      <formula>LEN(TRIM(E33))&gt;0</formula>
    </cfRule>
  </conditionalFormatting>
  <printOptions horizontalCentered="1"/>
  <pageMargins left="0.7" right="0.7" top="0.5" bottom="0.75" header="0.3" footer="0.3"/>
  <pageSetup scale="99" orientation="portrait" r:id="rId1"/>
  <headerFooter>
    <oddFooter>&amp;C&amp;D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2:J128"/>
  <sheetViews>
    <sheetView showGridLines="0" zoomScaleNormal="100" workbookViewId="0"/>
  </sheetViews>
  <sheetFormatPr defaultRowHeight="15" x14ac:dyDescent="0.25"/>
  <cols>
    <col min="2" max="2" width="35.7109375" style="36" customWidth="1"/>
    <col min="3" max="3" width="8.7109375" style="36" customWidth="1"/>
    <col min="4" max="4" width="48.28515625" style="36" bestFit="1" customWidth="1"/>
    <col min="5" max="5" width="8.7109375" style="36" customWidth="1"/>
    <col min="6" max="6" width="35.7109375" style="36" customWidth="1"/>
    <col min="7" max="7" width="8.7109375" style="36" customWidth="1"/>
    <col min="8" max="8" width="35.7109375" style="36" customWidth="1"/>
  </cols>
  <sheetData>
    <row r="2" spans="2:9" s="35" customFormat="1" ht="36" x14ac:dyDescent="0.55000000000000004">
      <c r="B2" s="834" t="s">
        <v>329</v>
      </c>
      <c r="C2" s="834"/>
      <c r="D2" s="834"/>
      <c r="E2" s="834"/>
      <c r="F2" s="834"/>
      <c r="G2" s="834"/>
      <c r="H2" s="834"/>
    </row>
    <row r="3" spans="2:9" s="35" customFormat="1" ht="24" customHeight="1" x14ac:dyDescent="0.25">
      <c r="B3" s="601" t="s">
        <v>1152</v>
      </c>
      <c r="C3" s="601"/>
      <c r="D3" s="601"/>
      <c r="E3" s="601"/>
      <c r="F3" s="601"/>
      <c r="G3" s="601"/>
      <c r="H3" s="601"/>
    </row>
    <row r="4" spans="2:9" s="35" customFormat="1" x14ac:dyDescent="0.25">
      <c r="B4" s="36"/>
      <c r="C4" s="36"/>
      <c r="D4" s="36"/>
      <c r="E4" s="36"/>
      <c r="F4" s="36"/>
      <c r="G4" s="36"/>
      <c r="H4" s="36"/>
    </row>
    <row r="5" spans="2:9" x14ac:dyDescent="0.25">
      <c r="B5" s="40" t="s">
        <v>326</v>
      </c>
      <c r="D5" s="40" t="s">
        <v>328</v>
      </c>
      <c r="F5" s="40" t="s">
        <v>84</v>
      </c>
      <c r="H5" s="40" t="s">
        <v>502</v>
      </c>
      <c r="I5" s="7"/>
    </row>
    <row r="6" spans="2:9" x14ac:dyDescent="0.25">
      <c r="B6" s="41" t="s">
        <v>60</v>
      </c>
      <c r="D6" s="41" t="s">
        <v>803</v>
      </c>
      <c r="F6" s="41" t="s">
        <v>11</v>
      </c>
      <c r="H6" s="41" t="s">
        <v>96</v>
      </c>
      <c r="I6" s="7"/>
    </row>
    <row r="7" spans="2:9" x14ac:dyDescent="0.25">
      <c r="B7" s="26" t="s">
        <v>63</v>
      </c>
      <c r="D7" s="26" t="s">
        <v>65</v>
      </c>
      <c r="F7" s="26"/>
      <c r="H7" s="26"/>
      <c r="I7" s="7"/>
    </row>
    <row r="8" spans="2:9" x14ac:dyDescent="0.25">
      <c r="B8" s="381" t="s">
        <v>846</v>
      </c>
      <c r="D8" s="26" t="s">
        <v>1112</v>
      </c>
      <c r="F8" s="26">
        <v>6</v>
      </c>
      <c r="H8" s="26" t="s">
        <v>100</v>
      </c>
      <c r="I8" s="7"/>
    </row>
    <row r="9" spans="2:9" x14ac:dyDescent="0.25">
      <c r="B9" s="381" t="s">
        <v>847</v>
      </c>
      <c r="D9" s="26" t="s">
        <v>1113</v>
      </c>
      <c r="F9" s="26">
        <v>5</v>
      </c>
      <c r="H9" s="42">
        <v>0</v>
      </c>
      <c r="I9" s="7"/>
    </row>
    <row r="10" spans="2:9" x14ac:dyDescent="0.25">
      <c r="B10" s="381" t="s">
        <v>848</v>
      </c>
      <c r="D10" s="26" t="s">
        <v>1114</v>
      </c>
      <c r="F10" s="26">
        <v>4</v>
      </c>
      <c r="H10" s="42">
        <v>4.1666666666666664E-2</v>
      </c>
      <c r="I10" s="7"/>
    </row>
    <row r="11" spans="2:9" x14ac:dyDescent="0.25">
      <c r="B11" s="381" t="s">
        <v>849</v>
      </c>
      <c r="D11" s="26" t="s">
        <v>1115</v>
      </c>
      <c r="F11" s="26">
        <v>3</v>
      </c>
      <c r="H11" s="42">
        <v>8.3333333333333329E-2</v>
      </c>
      <c r="I11" s="7"/>
    </row>
    <row r="12" spans="2:9" x14ac:dyDescent="0.25">
      <c r="B12" s="381" t="s">
        <v>850</v>
      </c>
      <c r="D12" s="26" t="s">
        <v>1116</v>
      </c>
      <c r="F12" s="26">
        <v>2</v>
      </c>
      <c r="H12" s="42">
        <v>0.125</v>
      </c>
      <c r="I12" s="7"/>
    </row>
    <row r="13" spans="2:9" x14ac:dyDescent="0.25">
      <c r="B13" s="381" t="s">
        <v>851</v>
      </c>
      <c r="D13" s="26" t="s">
        <v>1117</v>
      </c>
      <c r="F13" s="26">
        <v>1</v>
      </c>
      <c r="H13" s="42">
        <v>0.16666666666666666</v>
      </c>
      <c r="I13" s="7"/>
    </row>
    <row r="14" spans="2:9" x14ac:dyDescent="0.25">
      <c r="B14" s="381" t="s">
        <v>852</v>
      </c>
      <c r="D14" s="26" t="s">
        <v>1118</v>
      </c>
      <c r="F14" s="26">
        <v>0</v>
      </c>
      <c r="H14" s="42">
        <v>0.20833333333333334</v>
      </c>
      <c r="I14" s="7"/>
    </row>
    <row r="15" spans="2:9" x14ac:dyDescent="0.25">
      <c r="B15" s="381" t="s">
        <v>853</v>
      </c>
      <c r="D15" s="26" t="s">
        <v>1120</v>
      </c>
      <c r="H15" s="42">
        <v>0.25</v>
      </c>
      <c r="I15" s="7"/>
    </row>
    <row r="16" spans="2:9" x14ac:dyDescent="0.25">
      <c r="B16" s="381" t="s">
        <v>854</v>
      </c>
      <c r="D16" s="26" t="s">
        <v>1119</v>
      </c>
      <c r="F16" s="40" t="s">
        <v>94</v>
      </c>
      <c r="H16" s="42">
        <v>0.29166666666666669</v>
      </c>
      <c r="I16" s="7"/>
    </row>
    <row r="17" spans="2:9" x14ac:dyDescent="0.25">
      <c r="B17" s="381" t="s">
        <v>855</v>
      </c>
      <c r="D17" s="26" t="s">
        <v>1121</v>
      </c>
      <c r="F17" s="41" t="s">
        <v>117</v>
      </c>
      <c r="H17" s="42">
        <v>0.33333333333333331</v>
      </c>
      <c r="I17" s="7"/>
    </row>
    <row r="18" spans="2:9" x14ac:dyDescent="0.25">
      <c r="B18" s="381" t="s">
        <v>856</v>
      </c>
      <c r="D18" s="463" t="s">
        <v>1122</v>
      </c>
      <c r="F18" s="26" t="s">
        <v>119</v>
      </c>
      <c r="H18" s="42">
        <v>0.375</v>
      </c>
      <c r="I18" s="7"/>
    </row>
    <row r="19" spans="2:9" x14ac:dyDescent="0.25">
      <c r="F19" s="26" t="s">
        <v>121</v>
      </c>
      <c r="H19" s="42">
        <v>0.41666666666666669</v>
      </c>
      <c r="I19" s="7"/>
    </row>
    <row r="20" spans="2:9" x14ac:dyDescent="0.25">
      <c r="B20" s="40" t="s">
        <v>327</v>
      </c>
      <c r="D20" s="40" t="s">
        <v>99</v>
      </c>
      <c r="F20" s="26" t="s">
        <v>123</v>
      </c>
      <c r="H20" s="42">
        <v>0.45833333333333331</v>
      </c>
      <c r="I20" s="7"/>
    </row>
    <row r="21" spans="2:9" x14ac:dyDescent="0.25">
      <c r="B21" s="41" t="s">
        <v>61</v>
      </c>
      <c r="D21" s="41" t="s">
        <v>804</v>
      </c>
      <c r="H21" s="42">
        <v>0.5</v>
      </c>
      <c r="I21" s="7"/>
    </row>
    <row r="22" spans="2:9" x14ac:dyDescent="0.25">
      <c r="B22" s="26" t="s">
        <v>64</v>
      </c>
      <c r="D22" s="332"/>
      <c r="F22" s="40" t="s">
        <v>133</v>
      </c>
      <c r="H22" s="42">
        <v>0.54166666666666663</v>
      </c>
      <c r="I22" s="7"/>
    </row>
    <row r="23" spans="2:9" x14ac:dyDescent="0.25">
      <c r="B23" s="26" t="s">
        <v>66</v>
      </c>
      <c r="D23" s="332" t="s">
        <v>161</v>
      </c>
      <c r="F23" s="41" t="s">
        <v>87</v>
      </c>
      <c r="H23" s="42">
        <v>0.58333333333333337</v>
      </c>
      <c r="I23" s="7"/>
    </row>
    <row r="24" spans="2:9" x14ac:dyDescent="0.25">
      <c r="B24" s="26" t="s">
        <v>68</v>
      </c>
      <c r="D24" s="332" t="s">
        <v>162</v>
      </c>
      <c r="F24" s="26" t="s">
        <v>89</v>
      </c>
      <c r="H24" s="42">
        <v>0.625</v>
      </c>
      <c r="I24" s="7"/>
    </row>
    <row r="25" spans="2:9" x14ac:dyDescent="0.25">
      <c r="B25" s="26" t="s">
        <v>70</v>
      </c>
      <c r="D25" s="332" t="s">
        <v>163</v>
      </c>
      <c r="F25" s="26" t="s">
        <v>91</v>
      </c>
      <c r="H25" s="42">
        <v>0.66666666666666663</v>
      </c>
      <c r="I25" s="7"/>
    </row>
    <row r="26" spans="2:9" x14ac:dyDescent="0.25">
      <c r="B26" s="26" t="s">
        <v>72</v>
      </c>
      <c r="H26" s="42">
        <v>0.70833333333333337</v>
      </c>
      <c r="I26" s="7"/>
    </row>
    <row r="27" spans="2:9" x14ac:dyDescent="0.25">
      <c r="B27" s="26" t="s">
        <v>74</v>
      </c>
      <c r="D27" s="40" t="s">
        <v>115</v>
      </c>
      <c r="F27" s="40" t="s">
        <v>445</v>
      </c>
      <c r="H27" s="42">
        <v>0.75</v>
      </c>
      <c r="I27" s="7"/>
    </row>
    <row r="28" spans="2:9" x14ac:dyDescent="0.25">
      <c r="B28" s="26" t="s">
        <v>76</v>
      </c>
      <c r="D28" s="41" t="s">
        <v>442</v>
      </c>
      <c r="F28" s="41" t="s">
        <v>159</v>
      </c>
      <c r="H28" s="42">
        <v>0.79166666666666663</v>
      </c>
      <c r="I28" s="7"/>
    </row>
    <row r="29" spans="2:9" x14ac:dyDescent="0.25">
      <c r="B29" s="26" t="s">
        <v>78</v>
      </c>
      <c r="D29" s="76"/>
      <c r="F29" s="62" t="s">
        <v>136</v>
      </c>
      <c r="H29" s="42">
        <v>0.83333333333333337</v>
      </c>
      <c r="I29" s="7"/>
    </row>
    <row r="30" spans="2:9" x14ac:dyDescent="0.25">
      <c r="B30" s="26" t="s">
        <v>80</v>
      </c>
      <c r="D30" s="76" t="s">
        <v>443</v>
      </c>
      <c r="F30" s="26" t="s">
        <v>19</v>
      </c>
      <c r="H30" s="42">
        <v>0.875</v>
      </c>
      <c r="I30" s="7"/>
    </row>
    <row r="31" spans="2:9" x14ac:dyDescent="0.25">
      <c r="B31" s="26" t="s">
        <v>82</v>
      </c>
      <c r="D31" s="76" t="s">
        <v>444</v>
      </c>
      <c r="F31" s="26" t="str">
        <f>FirstDirection</f>
        <v>Direction 1</v>
      </c>
      <c r="H31" s="42">
        <v>0.91666666666666663</v>
      </c>
      <c r="I31" s="7"/>
    </row>
    <row r="32" spans="2:9" x14ac:dyDescent="0.25">
      <c r="B32" s="26" t="s">
        <v>85</v>
      </c>
      <c r="F32" s="123"/>
      <c r="H32" s="42">
        <v>0.95833333333333337</v>
      </c>
      <c r="I32" s="7"/>
    </row>
    <row r="33" spans="2:10" x14ac:dyDescent="0.25">
      <c r="B33" s="26" t="s">
        <v>88</v>
      </c>
      <c r="D33" s="40" t="s">
        <v>59</v>
      </c>
      <c r="I33" s="7"/>
      <c r="J33" s="7"/>
    </row>
    <row r="34" spans="2:10" x14ac:dyDescent="0.25">
      <c r="B34" s="26" t="s">
        <v>90</v>
      </c>
      <c r="D34" s="41" t="s">
        <v>102</v>
      </c>
      <c r="F34" s="40" t="s">
        <v>441</v>
      </c>
      <c r="H34" s="40" t="s">
        <v>802</v>
      </c>
      <c r="I34" s="7"/>
    </row>
    <row r="35" spans="2:10" x14ac:dyDescent="0.25">
      <c r="B35" s="26" t="s">
        <v>92</v>
      </c>
      <c r="D35" s="26"/>
      <c r="F35" s="41" t="s">
        <v>446</v>
      </c>
      <c r="H35" s="41" t="s">
        <v>503</v>
      </c>
      <c r="I35" s="7"/>
    </row>
    <row r="36" spans="2:10" x14ac:dyDescent="0.25">
      <c r="B36" s="26" t="s">
        <v>93</v>
      </c>
      <c r="D36" s="26">
        <v>9</v>
      </c>
      <c r="F36" s="64"/>
      <c r="H36" s="406" t="s">
        <v>1097</v>
      </c>
      <c r="I36" s="7"/>
    </row>
    <row r="37" spans="2:10" x14ac:dyDescent="0.25">
      <c r="B37" s="26" t="s">
        <v>95</v>
      </c>
      <c r="D37" s="26">
        <v>9.5</v>
      </c>
      <c r="F37" s="76" t="s">
        <v>449</v>
      </c>
      <c r="H37" s="76" t="s">
        <v>210</v>
      </c>
      <c r="I37" s="7"/>
    </row>
    <row r="38" spans="2:10" x14ac:dyDescent="0.25">
      <c r="B38" s="26" t="s">
        <v>97</v>
      </c>
      <c r="D38" s="26">
        <v>10</v>
      </c>
      <c r="F38" s="64" t="s">
        <v>448</v>
      </c>
      <c r="H38" s="76" t="s">
        <v>211</v>
      </c>
      <c r="I38" s="7"/>
    </row>
    <row r="39" spans="2:10" x14ac:dyDescent="0.25">
      <c r="B39" s="26" t="s">
        <v>98</v>
      </c>
      <c r="D39" s="26">
        <v>10.5</v>
      </c>
      <c r="F39" s="64" t="s">
        <v>447</v>
      </c>
      <c r="H39" s="76" t="s">
        <v>212</v>
      </c>
      <c r="I39" s="7"/>
      <c r="J39" s="7"/>
    </row>
    <row r="40" spans="2:10" x14ac:dyDescent="0.25">
      <c r="B40" s="26" t="s">
        <v>101</v>
      </c>
      <c r="D40" s="26">
        <v>11</v>
      </c>
      <c r="H40" s="76" t="s">
        <v>213</v>
      </c>
      <c r="I40" s="7"/>
      <c r="J40" s="7"/>
    </row>
    <row r="41" spans="2:10" x14ac:dyDescent="0.25">
      <c r="B41" s="26" t="s">
        <v>103</v>
      </c>
      <c r="D41" s="26">
        <v>11.5</v>
      </c>
      <c r="F41" s="40" t="s">
        <v>1217</v>
      </c>
      <c r="H41" s="76" t="s">
        <v>214</v>
      </c>
      <c r="I41" s="7"/>
      <c r="J41" s="7"/>
    </row>
    <row r="42" spans="2:10" x14ac:dyDescent="0.25">
      <c r="B42" s="26" t="s">
        <v>104</v>
      </c>
      <c r="D42" s="26">
        <v>12</v>
      </c>
      <c r="F42" s="590" t="s">
        <v>1218</v>
      </c>
      <c r="H42" s="76" t="s">
        <v>215</v>
      </c>
      <c r="I42" s="7"/>
      <c r="J42" s="7"/>
    </row>
    <row r="43" spans="2:10" x14ac:dyDescent="0.25">
      <c r="B43" s="26" t="s">
        <v>105</v>
      </c>
      <c r="F43" s="582"/>
      <c r="H43" s="76" t="s">
        <v>216</v>
      </c>
      <c r="I43" s="7"/>
    </row>
    <row r="44" spans="2:10" x14ac:dyDescent="0.25">
      <c r="B44" s="26" t="s">
        <v>106</v>
      </c>
      <c r="F44" s="582">
        <v>2</v>
      </c>
      <c r="H44" s="76" t="s">
        <v>217</v>
      </c>
      <c r="I44" s="7"/>
    </row>
    <row r="45" spans="2:10" x14ac:dyDescent="0.25">
      <c r="B45" s="26" t="s">
        <v>107</v>
      </c>
      <c r="F45" s="582">
        <v>1</v>
      </c>
      <c r="H45" s="76" t="s">
        <v>218</v>
      </c>
      <c r="I45" s="7"/>
    </row>
    <row r="46" spans="2:10" x14ac:dyDescent="0.25">
      <c r="B46" s="26" t="s">
        <v>108</v>
      </c>
      <c r="F46" s="582">
        <v>0</v>
      </c>
      <c r="H46" s="76" t="s">
        <v>219</v>
      </c>
      <c r="I46" s="7"/>
    </row>
    <row r="47" spans="2:10" x14ac:dyDescent="0.25">
      <c r="B47" s="26" t="s">
        <v>109</v>
      </c>
      <c r="F47" s="580"/>
      <c r="H47" s="76" t="s">
        <v>220</v>
      </c>
      <c r="I47" s="7"/>
    </row>
    <row r="48" spans="2:10" x14ac:dyDescent="0.25">
      <c r="B48" s="26" t="s">
        <v>110</v>
      </c>
      <c r="F48" s="40" t="s">
        <v>1220</v>
      </c>
      <c r="H48" s="76" t="s">
        <v>221</v>
      </c>
    </row>
    <row r="49" spans="2:10" x14ac:dyDescent="0.25">
      <c r="B49" s="26" t="s">
        <v>111</v>
      </c>
      <c r="F49" s="41" t="s">
        <v>1221</v>
      </c>
    </row>
    <row r="50" spans="2:10" x14ac:dyDescent="0.25">
      <c r="B50" s="26" t="s">
        <v>112</v>
      </c>
      <c r="F50" s="582"/>
    </row>
    <row r="51" spans="2:10" x14ac:dyDescent="0.25">
      <c r="B51" s="26" t="s">
        <v>113</v>
      </c>
      <c r="F51" s="582" t="s">
        <v>1222</v>
      </c>
    </row>
    <row r="52" spans="2:10" x14ac:dyDescent="0.25">
      <c r="B52" s="26" t="s">
        <v>114</v>
      </c>
      <c r="F52" s="582" t="s">
        <v>1223</v>
      </c>
    </row>
    <row r="53" spans="2:10" x14ac:dyDescent="0.25">
      <c r="B53" s="26" t="s">
        <v>116</v>
      </c>
      <c r="F53" s="582" t="s">
        <v>1224</v>
      </c>
    </row>
    <row r="54" spans="2:10" x14ac:dyDescent="0.25">
      <c r="B54" s="26" t="s">
        <v>118</v>
      </c>
      <c r="F54" s="37" t="s">
        <v>1225</v>
      </c>
    </row>
    <row r="55" spans="2:10" x14ac:dyDescent="0.25">
      <c r="B55" s="26" t="s">
        <v>120</v>
      </c>
    </row>
    <row r="56" spans="2:10" x14ac:dyDescent="0.25">
      <c r="B56" s="26" t="s">
        <v>122</v>
      </c>
    </row>
    <row r="57" spans="2:10" x14ac:dyDescent="0.25">
      <c r="B57" s="26" t="s">
        <v>124</v>
      </c>
    </row>
    <row r="58" spans="2:10" x14ac:dyDescent="0.25">
      <c r="B58" s="26" t="s">
        <v>125</v>
      </c>
      <c r="J58" s="7"/>
    </row>
    <row r="59" spans="2:10" x14ac:dyDescent="0.25">
      <c r="B59" s="26" t="s">
        <v>126</v>
      </c>
      <c r="J59" s="7"/>
    </row>
    <row r="60" spans="2:10" x14ac:dyDescent="0.25">
      <c r="B60" s="26" t="s">
        <v>127</v>
      </c>
      <c r="J60" s="7"/>
    </row>
    <row r="61" spans="2:10" x14ac:dyDescent="0.25">
      <c r="B61" s="26" t="s">
        <v>128</v>
      </c>
      <c r="J61" s="7"/>
    </row>
    <row r="62" spans="2:10" x14ac:dyDescent="0.25">
      <c r="B62" s="26" t="s">
        <v>129</v>
      </c>
      <c r="J62" s="7"/>
    </row>
    <row r="63" spans="2:10" x14ac:dyDescent="0.25">
      <c r="B63" s="26" t="s">
        <v>130</v>
      </c>
      <c r="J63" s="7"/>
    </row>
    <row r="64" spans="2:10" x14ac:dyDescent="0.25">
      <c r="B64" s="26" t="s">
        <v>131</v>
      </c>
      <c r="J64" s="7"/>
    </row>
    <row r="65" spans="2:10" x14ac:dyDescent="0.25">
      <c r="B65" s="26" t="s">
        <v>132</v>
      </c>
      <c r="J65" s="7"/>
    </row>
    <row r="66" spans="2:10" x14ac:dyDescent="0.25">
      <c r="B66" s="26" t="s">
        <v>134</v>
      </c>
      <c r="J66" s="7"/>
    </row>
    <row r="67" spans="2:10" x14ac:dyDescent="0.25">
      <c r="B67" s="26" t="s">
        <v>135</v>
      </c>
      <c r="J67" s="7"/>
    </row>
    <row r="68" spans="2:10" x14ac:dyDescent="0.25">
      <c r="B68" s="26" t="s">
        <v>137</v>
      </c>
      <c r="J68" s="7"/>
    </row>
    <row r="69" spans="2:10" x14ac:dyDescent="0.25">
      <c r="B69" s="26" t="s">
        <v>138</v>
      </c>
    </row>
    <row r="70" spans="2:10" x14ac:dyDescent="0.25">
      <c r="B70" s="26" t="s">
        <v>139</v>
      </c>
    </row>
    <row r="71" spans="2:10" x14ac:dyDescent="0.25">
      <c r="B71" s="26" t="s">
        <v>140</v>
      </c>
    </row>
    <row r="72" spans="2:10" x14ac:dyDescent="0.25">
      <c r="B72" s="26" t="s">
        <v>141</v>
      </c>
    </row>
    <row r="73" spans="2:10" x14ac:dyDescent="0.25">
      <c r="B73" s="26" t="s">
        <v>142</v>
      </c>
    </row>
    <row r="74" spans="2:10" x14ac:dyDescent="0.25">
      <c r="B74" s="26" t="s">
        <v>143</v>
      </c>
    </row>
    <row r="75" spans="2:10" x14ac:dyDescent="0.25">
      <c r="B75" s="26" t="s">
        <v>144</v>
      </c>
    </row>
    <row r="76" spans="2:10" x14ac:dyDescent="0.25">
      <c r="B76" s="26" t="s">
        <v>145</v>
      </c>
    </row>
    <row r="77" spans="2:10" x14ac:dyDescent="0.25">
      <c r="B77" s="26" t="s">
        <v>146</v>
      </c>
    </row>
    <row r="78" spans="2:10" x14ac:dyDescent="0.25">
      <c r="B78" s="26" t="s">
        <v>147</v>
      </c>
    </row>
    <row r="79" spans="2:10" x14ac:dyDescent="0.25">
      <c r="B79" s="26" t="s">
        <v>148</v>
      </c>
    </row>
    <row r="80" spans="2:10" x14ac:dyDescent="0.25">
      <c r="B80" s="26" t="s">
        <v>149</v>
      </c>
    </row>
    <row r="81" spans="2:9" x14ac:dyDescent="0.25">
      <c r="B81" s="26" t="s">
        <v>150</v>
      </c>
    </row>
    <row r="82" spans="2:9" x14ac:dyDescent="0.25">
      <c r="B82" s="26" t="s">
        <v>151</v>
      </c>
    </row>
    <row r="83" spans="2:9" x14ac:dyDescent="0.25">
      <c r="B83" s="26" t="s">
        <v>152</v>
      </c>
    </row>
    <row r="84" spans="2:9" x14ac:dyDescent="0.25">
      <c r="B84" s="26" t="s">
        <v>153</v>
      </c>
    </row>
    <row r="85" spans="2:9" x14ac:dyDescent="0.25">
      <c r="B85" s="26" t="s">
        <v>154</v>
      </c>
    </row>
    <row r="86" spans="2:9" x14ac:dyDescent="0.25">
      <c r="B86" s="26" t="s">
        <v>155</v>
      </c>
    </row>
    <row r="87" spans="2:9" x14ac:dyDescent="0.25">
      <c r="B87" s="26" t="s">
        <v>156</v>
      </c>
    </row>
    <row r="88" spans="2:9" x14ac:dyDescent="0.25">
      <c r="B88" s="26" t="s">
        <v>157</v>
      </c>
    </row>
    <row r="89" spans="2:9" x14ac:dyDescent="0.25">
      <c r="B89" s="26" t="s">
        <v>158</v>
      </c>
    </row>
    <row r="91" spans="2:9" x14ac:dyDescent="0.25">
      <c r="I91" s="7"/>
    </row>
    <row r="92" spans="2:9" x14ac:dyDescent="0.25">
      <c r="I92" s="7"/>
    </row>
    <row r="93" spans="2:9" x14ac:dyDescent="0.25">
      <c r="I93" s="7"/>
    </row>
    <row r="94" spans="2:9" x14ac:dyDescent="0.25">
      <c r="I94" s="7"/>
    </row>
    <row r="95" spans="2:9" x14ac:dyDescent="0.25">
      <c r="I95" s="7"/>
    </row>
    <row r="96" spans="2:9" x14ac:dyDescent="0.25">
      <c r="I96" s="7"/>
    </row>
    <row r="97" spans="9:9" x14ac:dyDescent="0.25">
      <c r="I97" s="7"/>
    </row>
    <row r="98" spans="9:9" x14ac:dyDescent="0.25">
      <c r="I98" s="7"/>
    </row>
    <row r="99" spans="9:9" x14ac:dyDescent="0.25">
      <c r="I99" s="7"/>
    </row>
    <row r="100" spans="9:9" x14ac:dyDescent="0.25">
      <c r="I100" s="7"/>
    </row>
    <row r="101" spans="9:9" x14ac:dyDescent="0.25">
      <c r="I101" s="7"/>
    </row>
    <row r="117" spans="1:10" x14ac:dyDescent="0.25">
      <c r="A117" s="7"/>
    </row>
    <row r="118" spans="1:10" s="7" customFormat="1" x14ac:dyDescent="0.25">
      <c r="B118" s="36"/>
      <c r="C118" s="36"/>
      <c r="D118" s="36"/>
      <c r="E118" s="36"/>
      <c r="F118" s="36"/>
      <c r="G118" s="36"/>
      <c r="H118" s="36"/>
      <c r="I118"/>
      <c r="J118"/>
    </row>
    <row r="119" spans="1:10" s="7" customFormat="1" x14ac:dyDescent="0.25">
      <c r="B119" s="36"/>
      <c r="C119" s="36"/>
      <c r="D119" s="36"/>
      <c r="E119" s="36"/>
      <c r="F119" s="36"/>
      <c r="G119" s="36"/>
      <c r="H119" s="36"/>
      <c r="I119"/>
      <c r="J119"/>
    </row>
    <row r="120" spans="1:10" s="7" customFormat="1" x14ac:dyDescent="0.25">
      <c r="B120" s="36"/>
      <c r="C120" s="36"/>
      <c r="D120" s="36"/>
      <c r="E120" s="36"/>
      <c r="F120" s="36"/>
      <c r="G120" s="36"/>
      <c r="H120" s="36"/>
      <c r="I120"/>
      <c r="J120"/>
    </row>
    <row r="121" spans="1:10" s="7" customFormat="1" x14ac:dyDescent="0.25">
      <c r="B121" s="36"/>
      <c r="C121" s="36"/>
      <c r="D121" s="36"/>
      <c r="E121" s="36"/>
      <c r="F121" s="36"/>
      <c r="G121" s="36"/>
      <c r="H121" s="36"/>
      <c r="I121"/>
      <c r="J121"/>
    </row>
    <row r="122" spans="1:10" s="7" customFormat="1" x14ac:dyDescent="0.25">
      <c r="B122" s="36"/>
      <c r="C122" s="36"/>
      <c r="D122" s="36"/>
      <c r="E122" s="36"/>
      <c r="F122" s="36"/>
      <c r="G122" s="36"/>
      <c r="H122" s="36"/>
      <c r="I122"/>
      <c r="J122"/>
    </row>
    <row r="123" spans="1:10" s="7" customFormat="1" x14ac:dyDescent="0.25">
      <c r="B123" s="36"/>
      <c r="C123" s="36"/>
      <c r="D123" s="36"/>
      <c r="E123" s="36"/>
      <c r="F123" s="36"/>
      <c r="G123" s="36"/>
      <c r="H123" s="36"/>
      <c r="I123"/>
      <c r="J123"/>
    </row>
    <row r="124" spans="1:10" s="7" customFormat="1" x14ac:dyDescent="0.25">
      <c r="B124" s="36"/>
      <c r="C124" s="36"/>
      <c r="D124" s="36"/>
      <c r="E124" s="36"/>
      <c r="F124" s="36"/>
      <c r="G124" s="36"/>
      <c r="H124" s="36"/>
      <c r="I124"/>
      <c r="J124"/>
    </row>
    <row r="125" spans="1:10" s="7" customFormat="1" x14ac:dyDescent="0.25">
      <c r="B125" s="36"/>
      <c r="C125" s="36"/>
      <c r="D125" s="36"/>
      <c r="E125" s="36"/>
      <c r="F125" s="36"/>
      <c r="G125" s="36"/>
      <c r="H125" s="36"/>
      <c r="I125"/>
      <c r="J125"/>
    </row>
    <row r="126" spans="1:10" s="7" customFormat="1" x14ac:dyDescent="0.25">
      <c r="B126" s="36"/>
      <c r="C126" s="36"/>
      <c r="D126" s="36"/>
      <c r="E126" s="36"/>
      <c r="F126" s="36"/>
      <c r="G126" s="36"/>
      <c r="H126" s="36"/>
      <c r="I126"/>
      <c r="J126"/>
    </row>
    <row r="127" spans="1:10" s="7" customFormat="1" x14ac:dyDescent="0.25">
      <c r="B127" s="36"/>
      <c r="C127" s="36"/>
      <c r="D127" s="36"/>
      <c r="E127" s="36"/>
      <c r="F127" s="36"/>
      <c r="G127" s="36"/>
      <c r="H127" s="36"/>
      <c r="I127"/>
      <c r="J127"/>
    </row>
    <row r="128" spans="1:10" s="7" customFormat="1" x14ac:dyDescent="0.25">
      <c r="A128"/>
      <c r="B128" s="36"/>
      <c r="C128" s="36"/>
      <c r="D128" s="36"/>
      <c r="E128" s="36"/>
      <c r="F128" s="36"/>
      <c r="G128" s="36"/>
      <c r="H128" s="36"/>
      <c r="I128"/>
      <c r="J128"/>
    </row>
  </sheetData>
  <sheetProtection algorithmName="SHA-512" hashValue="88JipRhSV0PT6jq/aZtCVroh1F8DOsZknHKM/bb5Y3znFaxY2QgKNBZfpV5DTYhIXrzcpwj2y+RyVQ/s1CVfVQ==" saltValue="8wqlmOH8FzWAEvuJ0QMY3w==" spinCount="100000" sheet="1" objects="1" scenarios="1"/>
  <mergeCells count="2">
    <mergeCell ref="B2:H2"/>
    <mergeCell ref="B3:H3"/>
  </mergeCells>
  <pageMargins left="0.7" right="0.7" top="0.75" bottom="0.75" header="0.3" footer="0.3"/>
  <ignoredErrors>
    <ignoredError sqref="B8:B1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2:BL209"/>
  <sheetViews>
    <sheetView showGridLines="0" zoomScaleNormal="100" workbookViewId="0"/>
  </sheetViews>
  <sheetFormatPr defaultRowHeight="15" x14ac:dyDescent="0.25"/>
  <cols>
    <col min="1" max="1" width="5.7109375" customWidth="1"/>
    <col min="2" max="7" width="4.7109375" customWidth="1"/>
    <col min="8" max="8" width="4.7109375" style="10" customWidth="1"/>
    <col min="9" max="20" width="4.7109375" customWidth="1"/>
    <col min="21" max="21" width="4.7109375" style="10" customWidth="1"/>
    <col min="22" max="23" width="4.7109375" customWidth="1"/>
    <col min="24" max="30" width="5" customWidth="1"/>
    <col min="31" max="31" width="5" style="10" customWidth="1"/>
    <col min="32" max="35" width="5" customWidth="1"/>
    <col min="36" max="59" width="4.7109375" customWidth="1"/>
  </cols>
  <sheetData>
    <row r="2" spans="2:39" s="35" customFormat="1" ht="36" x14ac:dyDescent="0.55000000000000004">
      <c r="B2" s="834" t="s">
        <v>311</v>
      </c>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row>
    <row r="3" spans="2:39" s="35" customFormat="1" ht="72" customHeight="1" x14ac:dyDescent="0.25">
      <c r="B3" s="601" t="s">
        <v>1153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row>
    <row r="4" spans="2:39" s="35" customFormat="1" x14ac:dyDescent="0.25"/>
    <row r="5" spans="2:39" x14ac:dyDescent="0.25">
      <c r="B5" s="840" t="s">
        <v>1131</v>
      </c>
      <c r="C5" s="840"/>
      <c r="D5" s="840"/>
      <c r="E5" s="840"/>
      <c r="F5" s="840"/>
      <c r="G5" s="840"/>
      <c r="H5" s="840"/>
      <c r="I5" s="840"/>
      <c r="J5" s="840"/>
      <c r="K5" s="840"/>
      <c r="L5" s="840"/>
      <c r="M5" s="840"/>
      <c r="N5" s="840"/>
      <c r="O5" s="840"/>
      <c r="P5" s="840"/>
      <c r="Q5" s="840"/>
      <c r="R5" s="840"/>
      <c r="S5" s="840"/>
      <c r="T5" s="840"/>
      <c r="U5" s="840"/>
      <c r="V5" s="840"/>
      <c r="W5" s="840"/>
      <c r="Y5" s="840" t="s">
        <v>1110</v>
      </c>
      <c r="Z5" s="840"/>
      <c r="AA5" s="840"/>
      <c r="AB5" s="840"/>
      <c r="AC5" s="840"/>
      <c r="AD5" s="840"/>
      <c r="AE5" s="840"/>
      <c r="AF5" s="840"/>
      <c r="AG5" s="840"/>
      <c r="AH5" s="840"/>
      <c r="AI5" s="840"/>
      <c r="AJ5" s="840"/>
      <c r="AK5" s="840"/>
      <c r="AL5" s="840"/>
      <c r="AM5" s="840"/>
    </row>
    <row r="6" spans="2:39" x14ac:dyDescent="0.25">
      <c r="B6" s="418" t="s">
        <v>1132</v>
      </c>
      <c r="C6" s="835" t="s">
        <v>1103</v>
      </c>
      <c r="D6" s="835"/>
      <c r="E6" s="835"/>
      <c r="F6" s="835"/>
      <c r="G6" s="835"/>
      <c r="H6" s="835"/>
      <c r="I6" s="835"/>
      <c r="J6" s="835"/>
      <c r="K6" s="835"/>
      <c r="L6" s="835"/>
      <c r="M6" s="835"/>
      <c r="N6" s="418" t="s">
        <v>1132</v>
      </c>
      <c r="O6" s="835" t="s">
        <v>1111</v>
      </c>
      <c r="P6" s="835"/>
      <c r="Q6" s="835"/>
      <c r="R6" s="835"/>
      <c r="S6" s="835"/>
      <c r="T6" s="835"/>
      <c r="U6" s="835"/>
      <c r="V6" s="835"/>
      <c r="W6" s="835"/>
      <c r="Y6" s="418" t="s">
        <v>1132</v>
      </c>
      <c r="Z6" s="835" t="s">
        <v>164</v>
      </c>
      <c r="AA6" s="835"/>
      <c r="AB6" s="835"/>
      <c r="AC6" s="835"/>
      <c r="AD6" s="835"/>
      <c r="AE6" s="835"/>
      <c r="AF6" s="835"/>
      <c r="AG6" s="835"/>
      <c r="AH6" s="835"/>
      <c r="AI6" s="418" t="s">
        <v>1132</v>
      </c>
      <c r="AJ6" s="837" t="s">
        <v>165</v>
      </c>
      <c r="AK6" s="838"/>
      <c r="AL6" s="838"/>
      <c r="AM6" s="839"/>
    </row>
    <row r="7" spans="2:39" x14ac:dyDescent="0.25">
      <c r="B7" s="468">
        <v>1</v>
      </c>
      <c r="C7" s="836" t="s">
        <v>1112</v>
      </c>
      <c r="D7" s="836"/>
      <c r="E7" s="836"/>
      <c r="F7" s="836"/>
      <c r="G7" s="836"/>
      <c r="H7" s="836"/>
      <c r="I7" s="836"/>
      <c r="J7" s="836"/>
      <c r="K7" s="836"/>
      <c r="L7" s="836"/>
      <c r="M7" s="836"/>
      <c r="N7" s="468">
        <v>1</v>
      </c>
      <c r="O7" s="836" t="s">
        <v>67</v>
      </c>
      <c r="P7" s="836"/>
      <c r="Q7" s="836"/>
      <c r="R7" s="836"/>
      <c r="S7" s="836"/>
      <c r="T7" s="836"/>
      <c r="U7" s="836"/>
      <c r="V7" s="836"/>
      <c r="W7" s="836"/>
      <c r="Y7" s="468">
        <v>1</v>
      </c>
      <c r="Z7" s="836" t="s">
        <v>67</v>
      </c>
      <c r="AA7" s="836"/>
      <c r="AB7" s="836"/>
      <c r="AC7" s="836"/>
      <c r="AD7" s="836"/>
      <c r="AE7" s="836"/>
      <c r="AF7" s="836"/>
      <c r="AG7" s="836"/>
      <c r="AH7" s="836"/>
      <c r="AI7" s="468">
        <v>1</v>
      </c>
      <c r="AJ7" s="836" t="s">
        <v>161</v>
      </c>
      <c r="AK7" s="836"/>
      <c r="AL7" s="836"/>
      <c r="AM7" s="836"/>
    </row>
    <row r="8" spans="2:39" x14ac:dyDescent="0.25">
      <c r="B8" s="468">
        <v>2</v>
      </c>
      <c r="C8" s="836" t="s">
        <v>1113</v>
      </c>
      <c r="D8" s="836"/>
      <c r="E8" s="836"/>
      <c r="F8" s="836"/>
      <c r="G8" s="836"/>
      <c r="H8" s="836"/>
      <c r="I8" s="836"/>
      <c r="J8" s="836"/>
      <c r="K8" s="836"/>
      <c r="L8" s="836"/>
      <c r="M8" s="836"/>
      <c r="N8" s="468">
        <v>2</v>
      </c>
      <c r="O8" s="836" t="s">
        <v>69</v>
      </c>
      <c r="P8" s="836"/>
      <c r="Q8" s="836"/>
      <c r="R8" s="836"/>
      <c r="S8" s="836"/>
      <c r="T8" s="836"/>
      <c r="U8" s="836"/>
      <c r="V8" s="836"/>
      <c r="W8" s="836"/>
      <c r="Y8" s="468">
        <v>2</v>
      </c>
      <c r="Z8" s="836" t="s">
        <v>69</v>
      </c>
      <c r="AA8" s="836"/>
      <c r="AB8" s="836"/>
      <c r="AC8" s="836"/>
      <c r="AD8" s="836"/>
      <c r="AE8" s="836"/>
      <c r="AF8" s="836"/>
      <c r="AG8" s="836"/>
      <c r="AH8" s="836"/>
      <c r="AI8" s="468">
        <v>1</v>
      </c>
      <c r="AJ8" s="836" t="s">
        <v>161</v>
      </c>
      <c r="AK8" s="836"/>
      <c r="AL8" s="836"/>
      <c r="AM8" s="836"/>
    </row>
    <row r="9" spans="2:39" x14ac:dyDescent="0.25">
      <c r="B9" s="468">
        <v>3</v>
      </c>
      <c r="C9" s="836" t="s">
        <v>1114</v>
      </c>
      <c r="D9" s="836"/>
      <c r="E9" s="836"/>
      <c r="F9" s="836"/>
      <c r="G9" s="836"/>
      <c r="H9" s="836"/>
      <c r="I9" s="836"/>
      <c r="J9" s="836"/>
      <c r="K9" s="836"/>
      <c r="L9" s="836"/>
      <c r="M9" s="836"/>
      <c r="N9" s="468">
        <v>3</v>
      </c>
      <c r="O9" s="836" t="s">
        <v>1123</v>
      </c>
      <c r="P9" s="836"/>
      <c r="Q9" s="836"/>
      <c r="R9" s="836"/>
      <c r="S9" s="836"/>
      <c r="T9" s="836"/>
      <c r="U9" s="836"/>
      <c r="V9" s="836"/>
      <c r="W9" s="836"/>
      <c r="Y9" s="468">
        <v>3</v>
      </c>
      <c r="Z9" s="836" t="s">
        <v>1123</v>
      </c>
      <c r="AA9" s="836"/>
      <c r="AB9" s="836"/>
      <c r="AC9" s="836"/>
      <c r="AD9" s="836"/>
      <c r="AE9" s="836"/>
      <c r="AF9" s="836"/>
      <c r="AG9" s="836"/>
      <c r="AH9" s="836"/>
      <c r="AI9" s="468">
        <v>2</v>
      </c>
      <c r="AJ9" s="836" t="s">
        <v>162</v>
      </c>
      <c r="AK9" s="836"/>
      <c r="AL9" s="836"/>
      <c r="AM9" s="836"/>
    </row>
    <row r="10" spans="2:39" x14ac:dyDescent="0.25">
      <c r="B10" s="468">
        <v>4</v>
      </c>
      <c r="C10" s="836" t="s">
        <v>1115</v>
      </c>
      <c r="D10" s="836"/>
      <c r="E10" s="836"/>
      <c r="F10" s="836"/>
      <c r="G10" s="836"/>
      <c r="H10" s="836"/>
      <c r="I10" s="836"/>
      <c r="J10" s="836"/>
      <c r="K10" s="836"/>
      <c r="L10" s="836"/>
      <c r="M10" s="836"/>
      <c r="N10" s="468">
        <v>4</v>
      </c>
      <c r="O10" s="836" t="s">
        <v>1124</v>
      </c>
      <c r="P10" s="836"/>
      <c r="Q10" s="836"/>
      <c r="R10" s="836"/>
      <c r="S10" s="836"/>
      <c r="T10" s="836"/>
      <c r="U10" s="836"/>
      <c r="V10" s="836"/>
      <c r="W10" s="836"/>
      <c r="Y10" s="468">
        <v>4</v>
      </c>
      <c r="Z10" s="836" t="s">
        <v>1124</v>
      </c>
      <c r="AA10" s="836"/>
      <c r="AB10" s="836"/>
      <c r="AC10" s="836"/>
      <c r="AD10" s="836"/>
      <c r="AE10" s="836"/>
      <c r="AF10" s="836"/>
      <c r="AG10" s="836"/>
      <c r="AH10" s="836"/>
      <c r="AI10" s="468">
        <v>2</v>
      </c>
      <c r="AJ10" s="836" t="s">
        <v>162</v>
      </c>
      <c r="AK10" s="836"/>
      <c r="AL10" s="836"/>
      <c r="AM10" s="836"/>
    </row>
    <row r="11" spans="2:39" x14ac:dyDescent="0.25">
      <c r="B11" s="468">
        <v>5</v>
      </c>
      <c r="C11" s="836" t="s">
        <v>1116</v>
      </c>
      <c r="D11" s="836"/>
      <c r="E11" s="836"/>
      <c r="F11" s="836"/>
      <c r="G11" s="836"/>
      <c r="H11" s="836"/>
      <c r="I11" s="836"/>
      <c r="J11" s="836"/>
      <c r="K11" s="836"/>
      <c r="L11" s="836"/>
      <c r="M11" s="836"/>
      <c r="N11" s="468">
        <v>5</v>
      </c>
      <c r="O11" s="836" t="s">
        <v>1125</v>
      </c>
      <c r="P11" s="836"/>
      <c r="Q11" s="836"/>
      <c r="R11" s="836"/>
      <c r="S11" s="836"/>
      <c r="T11" s="836"/>
      <c r="U11" s="836"/>
      <c r="V11" s="836"/>
      <c r="W11" s="836"/>
      <c r="Y11" s="468">
        <v>5</v>
      </c>
      <c r="Z11" s="836" t="s">
        <v>1125</v>
      </c>
      <c r="AA11" s="836"/>
      <c r="AB11" s="836"/>
      <c r="AC11" s="836"/>
      <c r="AD11" s="836"/>
      <c r="AE11" s="836"/>
      <c r="AF11" s="836"/>
      <c r="AG11" s="836"/>
      <c r="AH11" s="836"/>
      <c r="AI11" s="468">
        <v>3</v>
      </c>
      <c r="AJ11" s="836" t="s">
        <v>163</v>
      </c>
      <c r="AK11" s="836"/>
      <c r="AL11" s="836"/>
      <c r="AM11" s="836"/>
    </row>
    <row r="12" spans="2:39" x14ac:dyDescent="0.25">
      <c r="B12" s="468">
        <v>6</v>
      </c>
      <c r="C12" s="836" t="s">
        <v>1117</v>
      </c>
      <c r="D12" s="836"/>
      <c r="E12" s="836"/>
      <c r="F12" s="836"/>
      <c r="G12" s="836"/>
      <c r="H12" s="836"/>
      <c r="I12" s="836"/>
      <c r="J12" s="836"/>
      <c r="K12" s="836"/>
      <c r="L12" s="836"/>
      <c r="M12" s="836"/>
      <c r="N12" s="468">
        <v>7</v>
      </c>
      <c r="O12" s="836" t="s">
        <v>1128</v>
      </c>
      <c r="P12" s="836"/>
      <c r="Q12" s="836"/>
      <c r="R12" s="836"/>
      <c r="S12" s="836"/>
      <c r="T12" s="836"/>
      <c r="U12" s="836"/>
      <c r="V12" s="836"/>
      <c r="W12" s="836"/>
      <c r="Y12" s="468">
        <v>6</v>
      </c>
      <c r="Z12" s="836" t="s">
        <v>1127</v>
      </c>
      <c r="AA12" s="836"/>
      <c r="AB12" s="836"/>
      <c r="AC12" s="836"/>
      <c r="AD12" s="836"/>
      <c r="AE12" s="836"/>
      <c r="AF12" s="836"/>
      <c r="AG12" s="836"/>
      <c r="AH12" s="836"/>
      <c r="AI12" s="469" t="s">
        <v>270</v>
      </c>
      <c r="AJ12" s="836" t="s">
        <v>1130</v>
      </c>
      <c r="AK12" s="836"/>
      <c r="AL12" s="836"/>
      <c r="AM12" s="836"/>
    </row>
    <row r="13" spans="2:39" x14ac:dyDescent="0.25">
      <c r="B13" s="468">
        <v>7</v>
      </c>
      <c r="C13" s="836" t="s">
        <v>1118</v>
      </c>
      <c r="D13" s="836"/>
      <c r="E13" s="836"/>
      <c r="F13" s="836"/>
      <c r="G13" s="836"/>
      <c r="H13" s="836"/>
      <c r="I13" s="836"/>
      <c r="J13" s="836"/>
      <c r="K13" s="836"/>
      <c r="L13" s="836"/>
      <c r="M13" s="836"/>
      <c r="N13" s="468">
        <v>5</v>
      </c>
      <c r="O13" s="836" t="s">
        <v>1125</v>
      </c>
      <c r="P13" s="836"/>
      <c r="Q13" s="836"/>
      <c r="R13" s="836"/>
      <c r="S13" s="836"/>
      <c r="T13" s="836"/>
      <c r="U13" s="836"/>
      <c r="V13" s="836"/>
      <c r="W13" s="836"/>
      <c r="Y13" s="468">
        <v>7</v>
      </c>
      <c r="Z13" s="836" t="s">
        <v>1128</v>
      </c>
      <c r="AA13" s="836"/>
      <c r="AB13" s="836"/>
      <c r="AC13" s="836"/>
      <c r="AD13" s="836"/>
      <c r="AE13" s="836"/>
      <c r="AF13" s="836"/>
      <c r="AG13" s="836"/>
      <c r="AH13" s="836"/>
      <c r="AI13" s="468">
        <v>3</v>
      </c>
      <c r="AJ13" s="836" t="s">
        <v>163</v>
      </c>
      <c r="AK13" s="836"/>
      <c r="AL13" s="836"/>
      <c r="AM13" s="836"/>
    </row>
    <row r="14" spans="2:39" x14ac:dyDescent="0.25">
      <c r="B14" s="468">
        <v>8</v>
      </c>
      <c r="C14" s="836" t="s">
        <v>1120</v>
      </c>
      <c r="D14" s="836"/>
      <c r="E14" s="836"/>
      <c r="F14" s="836"/>
      <c r="G14" s="836"/>
      <c r="H14" s="836"/>
      <c r="I14" s="836"/>
      <c r="J14" s="836"/>
      <c r="K14" s="836"/>
      <c r="L14" s="836"/>
      <c r="M14" s="836"/>
      <c r="N14" s="468">
        <v>7</v>
      </c>
      <c r="O14" s="836" t="s">
        <v>1126</v>
      </c>
      <c r="P14" s="836"/>
      <c r="Q14" s="836"/>
      <c r="R14" s="836"/>
      <c r="S14" s="836"/>
      <c r="T14" s="836"/>
      <c r="U14" s="836"/>
      <c r="V14" s="836"/>
      <c r="W14" s="836"/>
      <c r="Y14" s="468">
        <v>8</v>
      </c>
      <c r="Z14" s="836" t="s">
        <v>1129</v>
      </c>
      <c r="AA14" s="836"/>
      <c r="AB14" s="836"/>
      <c r="AC14" s="836"/>
      <c r="AD14" s="836"/>
      <c r="AE14" s="836"/>
      <c r="AF14" s="836"/>
      <c r="AG14" s="836"/>
      <c r="AH14" s="836"/>
      <c r="AI14" s="469" t="s">
        <v>270</v>
      </c>
      <c r="AJ14" s="836" t="s">
        <v>1130</v>
      </c>
      <c r="AK14" s="836"/>
      <c r="AL14" s="836"/>
      <c r="AM14" s="836"/>
    </row>
    <row r="15" spans="2:39" x14ac:dyDescent="0.25">
      <c r="B15" s="468">
        <v>9</v>
      </c>
      <c r="C15" s="836" t="s">
        <v>1119</v>
      </c>
      <c r="D15" s="836"/>
      <c r="E15" s="836"/>
      <c r="F15" s="836"/>
      <c r="G15" s="836"/>
      <c r="H15" s="836"/>
      <c r="I15" s="836"/>
      <c r="J15" s="836"/>
      <c r="K15" s="836"/>
      <c r="L15" s="836"/>
      <c r="M15" s="836"/>
      <c r="N15" s="468">
        <v>7</v>
      </c>
      <c r="O15" s="836" t="s">
        <v>1126</v>
      </c>
      <c r="P15" s="836"/>
      <c r="Q15" s="836"/>
      <c r="R15" s="836"/>
      <c r="S15" s="836"/>
      <c r="T15" s="836"/>
      <c r="U15" s="836"/>
      <c r="V15" s="836"/>
      <c r="W15" s="836"/>
      <c r="Y15" s="468">
        <v>9</v>
      </c>
      <c r="Z15" s="836" t="s">
        <v>1126</v>
      </c>
      <c r="AA15" s="836"/>
      <c r="AB15" s="836"/>
      <c r="AC15" s="836"/>
      <c r="AD15" s="836"/>
      <c r="AE15" s="836"/>
      <c r="AF15" s="836"/>
      <c r="AG15" s="836"/>
      <c r="AH15" s="836"/>
      <c r="AI15" s="468">
        <v>3</v>
      </c>
      <c r="AJ15" s="836" t="s">
        <v>163</v>
      </c>
      <c r="AK15" s="836"/>
      <c r="AL15" s="836"/>
      <c r="AM15" s="836"/>
    </row>
    <row r="16" spans="2:39" x14ac:dyDescent="0.25">
      <c r="B16" s="468">
        <v>10</v>
      </c>
      <c r="C16" s="836" t="s">
        <v>1121</v>
      </c>
      <c r="D16" s="836"/>
      <c r="E16" s="836"/>
      <c r="F16" s="836"/>
      <c r="G16" s="836"/>
      <c r="H16" s="836"/>
      <c r="I16" s="836"/>
      <c r="J16" s="836"/>
      <c r="K16" s="836"/>
      <c r="L16" s="836"/>
      <c r="M16" s="836"/>
      <c r="N16" s="468">
        <v>5</v>
      </c>
      <c r="O16" s="836" t="s">
        <v>1125</v>
      </c>
      <c r="P16" s="836"/>
      <c r="Q16" s="836"/>
      <c r="R16" s="836"/>
      <c r="S16" s="836"/>
      <c r="T16" s="836"/>
      <c r="U16" s="836"/>
      <c r="V16" s="836"/>
      <c r="W16" s="836"/>
      <c r="Y16" s="468">
        <v>10</v>
      </c>
      <c r="Z16" s="836" t="s">
        <v>86</v>
      </c>
      <c r="AA16" s="836"/>
      <c r="AB16" s="836"/>
      <c r="AC16" s="836"/>
      <c r="AD16" s="836"/>
      <c r="AE16" s="836"/>
      <c r="AF16" s="836"/>
      <c r="AG16" s="836"/>
      <c r="AH16" s="836"/>
      <c r="AI16" s="469" t="s">
        <v>270</v>
      </c>
      <c r="AJ16" s="836" t="s">
        <v>1130</v>
      </c>
      <c r="AK16" s="836"/>
      <c r="AL16" s="836"/>
      <c r="AM16" s="836"/>
    </row>
    <row r="17" spans="2:45" x14ac:dyDescent="0.25">
      <c r="B17" s="468">
        <v>11</v>
      </c>
      <c r="C17" s="836" t="s">
        <v>1122</v>
      </c>
      <c r="D17" s="836"/>
      <c r="E17" s="836"/>
      <c r="F17" s="836"/>
      <c r="G17" s="836"/>
      <c r="H17" s="836"/>
      <c r="I17" s="836"/>
      <c r="J17" s="836"/>
      <c r="K17" s="836"/>
      <c r="L17" s="836"/>
      <c r="M17" s="836"/>
      <c r="N17" s="468">
        <v>7</v>
      </c>
      <c r="O17" s="836" t="s">
        <v>1126</v>
      </c>
      <c r="P17" s="836"/>
      <c r="Q17" s="836"/>
      <c r="R17" s="836"/>
      <c r="S17" s="836"/>
      <c r="T17" s="836"/>
      <c r="U17" s="836"/>
      <c r="V17" s="836"/>
      <c r="W17" s="836"/>
      <c r="Y17" s="841" t="s">
        <v>1154</v>
      </c>
      <c r="Z17" s="841"/>
      <c r="AA17" s="841"/>
      <c r="AB17" s="841"/>
      <c r="AC17" s="841"/>
      <c r="AD17" s="841"/>
      <c r="AE17" s="841"/>
      <c r="AF17" s="841"/>
      <c r="AG17" s="841"/>
      <c r="AH17" s="841"/>
      <c r="AI17" s="841"/>
      <c r="AJ17" s="841"/>
      <c r="AK17" s="841"/>
      <c r="AL17" s="841"/>
      <c r="AM17" s="841"/>
    </row>
    <row r="18" spans="2:45" x14ac:dyDescent="0.25">
      <c r="B18" s="841" t="s">
        <v>1154</v>
      </c>
      <c r="C18" s="841"/>
      <c r="D18" s="841"/>
      <c r="E18" s="841"/>
      <c r="F18" s="841"/>
      <c r="G18" s="841"/>
      <c r="H18" s="841"/>
      <c r="I18" s="841"/>
      <c r="J18" s="841"/>
      <c r="K18" s="841"/>
      <c r="L18" s="841"/>
      <c r="M18" s="841"/>
      <c r="N18" s="841"/>
      <c r="O18" s="841"/>
      <c r="P18" s="841"/>
      <c r="Q18" s="841"/>
      <c r="R18" s="841"/>
      <c r="S18" s="841"/>
      <c r="T18" s="841"/>
      <c r="U18" s="841"/>
      <c r="V18" s="841"/>
      <c r="W18" s="841"/>
      <c r="AD18" s="35"/>
      <c r="AE18" s="35"/>
      <c r="AF18" s="35"/>
      <c r="AG18" s="35"/>
      <c r="AH18" s="35"/>
      <c r="AI18" s="35"/>
      <c r="AJ18" s="35"/>
      <c r="AK18" s="35"/>
      <c r="AL18" s="35"/>
      <c r="AM18" s="35"/>
      <c r="AN18" s="35"/>
    </row>
    <row r="19" spans="2:45" x14ac:dyDescent="0.25">
      <c r="B19" s="35"/>
      <c r="C19" s="35"/>
      <c r="D19" s="35"/>
      <c r="E19" s="35"/>
      <c r="F19" s="35"/>
      <c r="G19" s="35"/>
      <c r="H19" s="35"/>
      <c r="I19" s="35"/>
      <c r="J19" s="35"/>
      <c r="K19" s="35"/>
      <c r="L19" s="35"/>
      <c r="N19" s="35"/>
      <c r="O19" s="35"/>
      <c r="P19" s="35"/>
      <c r="Q19" s="35"/>
      <c r="R19" s="35"/>
      <c r="S19" s="35"/>
      <c r="T19" s="35"/>
      <c r="U19" s="35"/>
      <c r="V19" s="35"/>
      <c r="AE19"/>
      <c r="AF19" s="10"/>
    </row>
    <row r="20" spans="2:45" s="35" customFormat="1" x14ac:dyDescent="0.25">
      <c r="B20" s="889" t="s">
        <v>330</v>
      </c>
      <c r="C20" s="890"/>
      <c r="D20" s="890"/>
      <c r="E20" s="890"/>
      <c r="F20" s="890"/>
      <c r="G20" s="890"/>
      <c r="H20" s="890"/>
      <c r="I20" s="890"/>
      <c r="J20" s="890"/>
      <c r="K20" s="893"/>
      <c r="L20"/>
      <c r="M20" s="889" t="s">
        <v>331</v>
      </c>
      <c r="N20" s="890"/>
      <c r="O20" s="890"/>
      <c r="P20" s="890"/>
      <c r="Q20" s="890"/>
      <c r="R20" s="890"/>
      <c r="S20" s="890"/>
      <c r="T20" s="890"/>
      <c r="U20" s="890"/>
      <c r="V20" s="890"/>
      <c r="X20" s="879" t="s">
        <v>474</v>
      </c>
      <c r="Y20" s="880"/>
      <c r="Z20" s="880"/>
      <c r="AA20" s="880"/>
      <c r="AB20" s="880"/>
      <c r="AC20" s="880"/>
      <c r="AD20" s="881"/>
      <c r="AF20" s="873" t="s">
        <v>475</v>
      </c>
      <c r="AG20" s="873"/>
      <c r="AH20" s="873"/>
      <c r="AI20" s="873"/>
      <c r="AJ20" s="873"/>
      <c r="AK20" s="873"/>
      <c r="AM20" s="880" t="s">
        <v>1206</v>
      </c>
      <c r="AN20" s="880"/>
      <c r="AO20" s="880"/>
      <c r="AP20" s="880"/>
      <c r="AQ20" s="880"/>
      <c r="AR20" s="880"/>
    </row>
    <row r="21" spans="2:45" s="35" customFormat="1" x14ac:dyDescent="0.25">
      <c r="B21" s="961" t="s">
        <v>166</v>
      </c>
      <c r="C21" s="961"/>
      <c r="D21" s="961"/>
      <c r="E21" s="961"/>
      <c r="F21" s="405" t="s">
        <v>167</v>
      </c>
      <c r="G21" s="923" t="s">
        <v>168</v>
      </c>
      <c r="H21" s="924"/>
      <c r="I21" s="924"/>
      <c r="J21" s="961" t="s">
        <v>169</v>
      </c>
      <c r="K21" s="961"/>
      <c r="L21"/>
      <c r="M21" s="12"/>
      <c r="N21" s="960" t="s">
        <v>6</v>
      </c>
      <c r="O21" s="960"/>
      <c r="P21" s="960"/>
      <c r="Q21" s="960"/>
      <c r="R21" s="960"/>
      <c r="S21" s="960"/>
      <c r="T21" s="960"/>
      <c r="U21" s="418" t="s">
        <v>176</v>
      </c>
      <c r="V21" s="418" t="s">
        <v>177</v>
      </c>
      <c r="X21" s="882"/>
      <c r="Y21" s="883"/>
      <c r="Z21" s="883"/>
      <c r="AA21" s="883"/>
      <c r="AB21" s="883"/>
      <c r="AC21" s="883"/>
      <c r="AD21" s="884"/>
      <c r="AF21" s="873"/>
      <c r="AG21" s="873"/>
      <c r="AH21" s="873"/>
      <c r="AI21" s="873"/>
      <c r="AJ21" s="873"/>
      <c r="AK21" s="873"/>
      <c r="AM21" s="990"/>
      <c r="AN21" s="990"/>
      <c r="AO21" s="990"/>
      <c r="AP21" s="990"/>
      <c r="AQ21" s="990"/>
      <c r="AR21" s="990"/>
    </row>
    <row r="22" spans="2:45" s="35" customFormat="1" ht="15" customHeight="1" x14ac:dyDescent="0.25">
      <c r="B22" s="938"/>
      <c r="C22" s="938"/>
      <c r="D22" s="938"/>
      <c r="E22" s="938"/>
      <c r="F22" s="417" t="s">
        <v>170</v>
      </c>
      <c r="G22" s="962" t="s">
        <v>171</v>
      </c>
      <c r="H22" s="963"/>
      <c r="I22" s="963"/>
      <c r="J22" s="938" t="s">
        <v>172</v>
      </c>
      <c r="K22" s="938"/>
      <c r="L22"/>
      <c r="M22" s="11">
        <v>1</v>
      </c>
      <c r="N22" s="836" t="s">
        <v>67</v>
      </c>
      <c r="O22" s="836"/>
      <c r="P22" s="836"/>
      <c r="Q22" s="836"/>
      <c r="R22" s="836"/>
      <c r="S22" s="836"/>
      <c r="T22" s="836"/>
      <c r="U22" s="13">
        <v>0.3</v>
      </c>
      <c r="V22" s="13">
        <v>0.7</v>
      </c>
      <c r="X22" s="947" t="s">
        <v>943</v>
      </c>
      <c r="Y22" s="948"/>
      <c r="Z22" s="949"/>
      <c r="AA22" s="69" t="s">
        <v>195</v>
      </c>
      <c r="AB22" s="70"/>
      <c r="AC22" s="70"/>
      <c r="AD22" s="71"/>
      <c r="AF22" s="845" t="s">
        <v>191</v>
      </c>
      <c r="AG22" s="845"/>
      <c r="AH22" s="845"/>
      <c r="AI22" s="845"/>
      <c r="AJ22" s="845" t="s">
        <v>192</v>
      </c>
      <c r="AK22" s="845"/>
      <c r="AM22" s="990"/>
      <c r="AN22" s="990"/>
      <c r="AO22" s="990"/>
      <c r="AP22" s="990"/>
      <c r="AQ22" s="990"/>
      <c r="AR22" s="990"/>
    </row>
    <row r="23" spans="2:45" s="35" customFormat="1" x14ac:dyDescent="0.25">
      <c r="B23" s="847" t="s">
        <v>161</v>
      </c>
      <c r="C23" s="847"/>
      <c r="D23" s="847"/>
      <c r="E23" s="847"/>
      <c r="F23" s="8">
        <v>0</v>
      </c>
      <c r="G23" s="874">
        <v>2200</v>
      </c>
      <c r="H23" s="874"/>
      <c r="I23" s="874"/>
      <c r="J23" s="965" t="s">
        <v>224</v>
      </c>
      <c r="K23" s="965"/>
      <c r="L23"/>
      <c r="M23" s="11">
        <v>2</v>
      </c>
      <c r="N23" s="836" t="s">
        <v>69</v>
      </c>
      <c r="O23" s="836"/>
      <c r="P23" s="836"/>
      <c r="Q23" s="836"/>
      <c r="R23" s="836"/>
      <c r="S23" s="836"/>
      <c r="T23" s="836"/>
      <c r="U23" s="13">
        <v>0.16</v>
      </c>
      <c r="V23" s="13">
        <v>0.84</v>
      </c>
      <c r="X23" s="950"/>
      <c r="Y23" s="951"/>
      <c r="Z23" s="952"/>
      <c r="AA23" s="77">
        <v>2</v>
      </c>
      <c r="AB23" s="77">
        <v>3</v>
      </c>
      <c r="AC23" s="77">
        <v>4</v>
      </c>
      <c r="AD23" s="77">
        <v>5</v>
      </c>
      <c r="AF23" s="19">
        <v>0</v>
      </c>
      <c r="AG23" s="18" t="s">
        <v>193</v>
      </c>
      <c r="AH23" s="986">
        <v>11</v>
      </c>
      <c r="AI23" s="987"/>
      <c r="AJ23" s="988">
        <v>6.6</v>
      </c>
      <c r="AK23" s="988"/>
      <c r="AM23" s="857" t="s">
        <v>1207</v>
      </c>
      <c r="AN23" s="857"/>
      <c r="AO23" s="857"/>
      <c r="AP23" s="857" t="s">
        <v>455</v>
      </c>
      <c r="AQ23" s="857"/>
      <c r="AR23" s="857"/>
    </row>
    <row r="24" spans="2:45" s="35" customFormat="1" x14ac:dyDescent="0.25">
      <c r="B24" s="847" t="s">
        <v>161</v>
      </c>
      <c r="C24" s="847"/>
      <c r="D24" s="847"/>
      <c r="E24" s="847"/>
      <c r="F24" s="8">
        <v>55</v>
      </c>
      <c r="G24" s="891">
        <v>2250</v>
      </c>
      <c r="H24" s="829"/>
      <c r="I24" s="829"/>
      <c r="J24" s="964" t="s">
        <v>173</v>
      </c>
      <c r="K24" s="964"/>
      <c r="L24"/>
      <c r="M24" s="11">
        <v>3</v>
      </c>
      <c r="N24" s="836" t="s">
        <v>71</v>
      </c>
      <c r="O24" s="836"/>
      <c r="P24" s="836"/>
      <c r="Q24" s="836"/>
      <c r="R24" s="836"/>
      <c r="S24" s="836"/>
      <c r="T24" s="836"/>
      <c r="U24" s="13">
        <v>0.63</v>
      </c>
      <c r="V24" s="13">
        <v>0.37</v>
      </c>
      <c r="X24" s="72">
        <v>0</v>
      </c>
      <c r="Y24" s="17"/>
      <c r="Z24" s="33"/>
      <c r="AA24" s="81">
        <v>3.6</v>
      </c>
      <c r="AB24" s="81">
        <v>2.4</v>
      </c>
      <c r="AC24" s="81">
        <v>1.2</v>
      </c>
      <c r="AD24" s="81">
        <v>0.6</v>
      </c>
      <c r="AF24" s="19">
        <v>11</v>
      </c>
      <c r="AG24" s="18" t="s">
        <v>193</v>
      </c>
      <c r="AH24" s="986">
        <v>12</v>
      </c>
      <c r="AI24" s="987"/>
      <c r="AJ24" s="988">
        <v>1.9</v>
      </c>
      <c r="AK24" s="988"/>
      <c r="AM24" s="857"/>
      <c r="AN24" s="857"/>
      <c r="AO24" s="857"/>
      <c r="AP24" s="857"/>
      <c r="AQ24" s="857"/>
      <c r="AR24" s="857"/>
    </row>
    <row r="25" spans="2:45" s="35" customFormat="1" x14ac:dyDescent="0.25">
      <c r="B25" s="847" t="s">
        <v>161</v>
      </c>
      <c r="C25" s="847"/>
      <c r="D25" s="847"/>
      <c r="E25" s="847"/>
      <c r="F25" s="8">
        <v>60</v>
      </c>
      <c r="G25" s="891">
        <v>2300</v>
      </c>
      <c r="H25" s="829"/>
      <c r="I25" s="829"/>
      <c r="J25" s="964" t="s">
        <v>173</v>
      </c>
      <c r="K25" s="964"/>
      <c r="L25"/>
      <c r="M25" s="11">
        <v>4</v>
      </c>
      <c r="N25" s="836" t="s">
        <v>73</v>
      </c>
      <c r="O25" s="836"/>
      <c r="P25" s="836"/>
      <c r="Q25" s="836"/>
      <c r="R25" s="836"/>
      <c r="S25" s="836"/>
      <c r="T25" s="836"/>
      <c r="U25" s="13">
        <v>0.47</v>
      </c>
      <c r="V25" s="13">
        <v>0.53</v>
      </c>
      <c r="X25" s="72">
        <v>1</v>
      </c>
      <c r="Y25" s="17"/>
      <c r="Z25" s="33"/>
      <c r="AA25" s="81">
        <v>3</v>
      </c>
      <c r="AB25" s="81">
        <v>2</v>
      </c>
      <c r="AC25" s="81">
        <v>1</v>
      </c>
      <c r="AD25" s="81">
        <v>0.5</v>
      </c>
      <c r="AF25" s="19">
        <v>12</v>
      </c>
      <c r="AG25" s="18" t="s">
        <v>193</v>
      </c>
      <c r="AH25" s="986" t="s">
        <v>194</v>
      </c>
      <c r="AI25" s="987"/>
      <c r="AJ25" s="988">
        <v>0</v>
      </c>
      <c r="AK25" s="988"/>
      <c r="AM25" s="847">
        <v>0</v>
      </c>
      <c r="AN25" s="847"/>
      <c r="AO25" s="847"/>
      <c r="AP25" s="988">
        <v>2</v>
      </c>
      <c r="AQ25" s="988"/>
      <c r="AR25" s="988"/>
    </row>
    <row r="26" spans="2:45" s="35" customFormat="1" x14ac:dyDescent="0.25">
      <c r="B26" s="847" t="s">
        <v>161</v>
      </c>
      <c r="C26" s="847"/>
      <c r="D26" s="847"/>
      <c r="E26" s="847"/>
      <c r="F26" s="8">
        <v>65</v>
      </c>
      <c r="G26" s="891">
        <v>2350</v>
      </c>
      <c r="H26" s="829"/>
      <c r="I26" s="829"/>
      <c r="J26" s="964" t="s">
        <v>173</v>
      </c>
      <c r="K26" s="964"/>
      <c r="L26"/>
      <c r="M26" s="11">
        <v>5</v>
      </c>
      <c r="N26" s="836" t="s">
        <v>75</v>
      </c>
      <c r="O26" s="836"/>
      <c r="P26" s="836"/>
      <c r="Q26" s="836"/>
      <c r="R26" s="836"/>
      <c r="S26" s="836"/>
      <c r="T26" s="836"/>
      <c r="U26" s="13">
        <v>0.8</v>
      </c>
      <c r="V26" s="13">
        <v>0.2</v>
      </c>
      <c r="X26" s="72">
        <v>2</v>
      </c>
      <c r="Y26" s="17"/>
      <c r="Z26" s="33"/>
      <c r="AA26" s="81">
        <v>2.4</v>
      </c>
      <c r="AB26" s="81">
        <v>1.6</v>
      </c>
      <c r="AC26" s="81">
        <v>0.8</v>
      </c>
      <c r="AD26" s="81">
        <v>0.4</v>
      </c>
      <c r="AF26" s="985" t="s">
        <v>450</v>
      </c>
      <c r="AG26" s="985"/>
      <c r="AH26" s="985"/>
      <c r="AI26" s="985"/>
      <c r="AJ26" s="985"/>
      <c r="AK26" s="985"/>
      <c r="AM26" s="847">
        <v>1</v>
      </c>
      <c r="AN26" s="847"/>
      <c r="AO26" s="847"/>
      <c r="AP26" s="988">
        <v>1</v>
      </c>
      <c r="AQ26" s="988"/>
      <c r="AR26" s="988"/>
    </row>
    <row r="27" spans="2:45" s="35" customFormat="1" x14ac:dyDescent="0.25">
      <c r="B27" s="847" t="s">
        <v>161</v>
      </c>
      <c r="C27" s="847"/>
      <c r="D27" s="847"/>
      <c r="E27" s="847"/>
      <c r="F27" s="8">
        <v>70</v>
      </c>
      <c r="G27" s="891">
        <v>2400</v>
      </c>
      <c r="H27" s="829"/>
      <c r="I27" s="829"/>
      <c r="J27" s="964" t="s">
        <v>173</v>
      </c>
      <c r="K27" s="964"/>
      <c r="L27"/>
      <c r="M27" s="11">
        <v>6</v>
      </c>
      <c r="N27" s="836" t="s">
        <v>77</v>
      </c>
      <c r="O27" s="836"/>
      <c r="P27" s="836"/>
      <c r="Q27" s="836"/>
      <c r="R27" s="836"/>
      <c r="S27" s="836"/>
      <c r="T27" s="836"/>
      <c r="U27" s="13">
        <v>0.61</v>
      </c>
      <c r="V27" s="13">
        <v>0.39</v>
      </c>
      <c r="X27" s="72">
        <v>3</v>
      </c>
      <c r="Y27" s="17"/>
      <c r="Z27" s="33"/>
      <c r="AA27" s="81">
        <v>1.8</v>
      </c>
      <c r="AB27" s="81">
        <v>1.2</v>
      </c>
      <c r="AC27" s="81">
        <v>0.6</v>
      </c>
      <c r="AD27" s="81">
        <v>0.3</v>
      </c>
      <c r="AM27" s="847">
        <v>2</v>
      </c>
      <c r="AN27" s="847"/>
      <c r="AO27" s="847"/>
      <c r="AP27" s="988">
        <v>0</v>
      </c>
      <c r="AQ27" s="988"/>
      <c r="AR27" s="988"/>
    </row>
    <row r="28" spans="2:45" s="35" customFormat="1" x14ac:dyDescent="0.25">
      <c r="B28" s="847" t="s">
        <v>161</v>
      </c>
      <c r="C28" s="847"/>
      <c r="D28" s="847"/>
      <c r="E28" s="847"/>
      <c r="F28" s="8">
        <v>75</v>
      </c>
      <c r="G28" s="891">
        <v>2400</v>
      </c>
      <c r="H28" s="829"/>
      <c r="I28" s="829"/>
      <c r="J28" s="964" t="s">
        <v>173</v>
      </c>
      <c r="K28" s="964"/>
      <c r="L28"/>
      <c r="M28" s="11">
        <v>7</v>
      </c>
      <c r="N28" s="836" t="s">
        <v>79</v>
      </c>
      <c r="O28" s="836"/>
      <c r="P28" s="836"/>
      <c r="Q28" s="836"/>
      <c r="R28" s="836"/>
      <c r="S28" s="836"/>
      <c r="T28" s="836"/>
      <c r="U28" s="13">
        <v>0.68</v>
      </c>
      <c r="V28" s="13">
        <v>0.32</v>
      </c>
      <c r="X28" s="72">
        <v>4</v>
      </c>
      <c r="Y28" s="17"/>
      <c r="Z28" s="33"/>
      <c r="AA28" s="81">
        <v>1.2</v>
      </c>
      <c r="AB28" s="81">
        <v>0.8</v>
      </c>
      <c r="AC28" s="81">
        <v>0.4</v>
      </c>
      <c r="AD28" s="81">
        <v>0.2</v>
      </c>
      <c r="AF28" s="880" t="s">
        <v>476</v>
      </c>
      <c r="AG28" s="880"/>
      <c r="AH28" s="880"/>
      <c r="AI28" s="880"/>
      <c r="AJ28" s="880"/>
      <c r="AK28" s="880"/>
      <c r="AM28" s="915" t="s">
        <v>1216</v>
      </c>
      <c r="AN28" s="916"/>
      <c r="AO28" s="916"/>
      <c r="AP28" s="916"/>
      <c r="AQ28" s="916"/>
      <c r="AR28" s="917"/>
      <c r="AS28" s="568"/>
    </row>
    <row r="29" spans="2:45" s="35" customFormat="1" x14ac:dyDescent="0.25">
      <c r="B29" s="847" t="s">
        <v>162</v>
      </c>
      <c r="C29" s="847"/>
      <c r="D29" s="847"/>
      <c r="E29" s="847"/>
      <c r="F29" s="8">
        <v>0</v>
      </c>
      <c r="G29" s="874">
        <v>1700</v>
      </c>
      <c r="H29" s="874"/>
      <c r="I29" s="874"/>
      <c r="J29" s="965" t="s">
        <v>224</v>
      </c>
      <c r="K29" s="965"/>
      <c r="L29"/>
      <c r="M29" s="11">
        <v>8</v>
      </c>
      <c r="N29" s="836" t="s">
        <v>81</v>
      </c>
      <c r="O29" s="836"/>
      <c r="P29" s="836"/>
      <c r="Q29" s="836"/>
      <c r="R29" s="836"/>
      <c r="S29" s="836"/>
      <c r="T29" s="836"/>
      <c r="U29" s="13">
        <v>0.81</v>
      </c>
      <c r="V29" s="13">
        <v>0.19</v>
      </c>
      <c r="X29" s="72">
        <v>5</v>
      </c>
      <c r="Y29" s="17"/>
      <c r="Z29" s="33"/>
      <c r="AA29" s="81">
        <v>0.6</v>
      </c>
      <c r="AB29" s="81">
        <v>0.4</v>
      </c>
      <c r="AC29" s="81">
        <v>0.2</v>
      </c>
      <c r="AD29" s="81">
        <v>0.1</v>
      </c>
      <c r="AF29" s="990"/>
      <c r="AG29" s="990"/>
      <c r="AH29" s="990"/>
      <c r="AI29" s="990"/>
      <c r="AJ29" s="990"/>
      <c r="AK29" s="990"/>
      <c r="AM29" s="568"/>
      <c r="AN29" s="568"/>
      <c r="AO29" s="568"/>
      <c r="AP29" s="568"/>
      <c r="AQ29" s="568"/>
      <c r="AR29" s="568"/>
      <c r="AS29" s="568"/>
    </row>
    <row r="30" spans="2:45" s="35" customFormat="1" x14ac:dyDescent="0.25">
      <c r="B30" s="847" t="s">
        <v>162</v>
      </c>
      <c r="C30" s="847"/>
      <c r="D30" s="847"/>
      <c r="E30" s="847"/>
      <c r="F30" s="8">
        <v>45</v>
      </c>
      <c r="G30" s="891">
        <v>1900</v>
      </c>
      <c r="H30" s="829"/>
      <c r="I30" s="829"/>
      <c r="J30" s="964" t="s">
        <v>174</v>
      </c>
      <c r="K30" s="964"/>
      <c r="L30"/>
      <c r="M30" s="11">
        <v>9</v>
      </c>
      <c r="N30" s="836" t="s">
        <v>83</v>
      </c>
      <c r="O30" s="836"/>
      <c r="P30" s="836"/>
      <c r="Q30" s="836"/>
      <c r="R30" s="836"/>
      <c r="S30" s="836"/>
      <c r="T30" s="836"/>
      <c r="U30" s="13">
        <v>0.82</v>
      </c>
      <c r="V30" s="13">
        <v>0.18</v>
      </c>
      <c r="X30" s="72">
        <v>6</v>
      </c>
      <c r="Y30" s="17" t="s">
        <v>196</v>
      </c>
      <c r="Z30" s="33"/>
      <c r="AA30" s="81">
        <v>0</v>
      </c>
      <c r="AB30" s="81">
        <v>0</v>
      </c>
      <c r="AC30" s="81">
        <v>0</v>
      </c>
      <c r="AD30" s="81">
        <v>0</v>
      </c>
      <c r="AF30" s="990"/>
      <c r="AG30" s="990"/>
      <c r="AH30" s="990"/>
      <c r="AI30" s="990"/>
      <c r="AJ30" s="990"/>
      <c r="AK30" s="990"/>
    </row>
    <row r="31" spans="2:45" s="35" customFormat="1" x14ac:dyDescent="0.25">
      <c r="B31" s="847" t="s">
        <v>162</v>
      </c>
      <c r="C31" s="847"/>
      <c r="D31" s="847"/>
      <c r="E31" s="847"/>
      <c r="F31" s="8">
        <v>50</v>
      </c>
      <c r="G31" s="891">
        <v>2000</v>
      </c>
      <c r="H31" s="829"/>
      <c r="I31" s="829"/>
      <c r="J31" s="964" t="s">
        <v>174</v>
      </c>
      <c r="K31" s="964"/>
      <c r="L31"/>
      <c r="M31" s="11">
        <v>10</v>
      </c>
      <c r="N31" s="836" t="s">
        <v>86</v>
      </c>
      <c r="O31" s="836"/>
      <c r="P31" s="836"/>
      <c r="Q31" s="836"/>
      <c r="R31" s="836"/>
      <c r="S31" s="836"/>
      <c r="T31" s="836"/>
      <c r="U31" s="13">
        <v>0.74</v>
      </c>
      <c r="V31" s="13">
        <v>0.26</v>
      </c>
      <c r="X31" s="885" t="s">
        <v>451</v>
      </c>
      <c r="Y31" s="886"/>
      <c r="Z31" s="886"/>
      <c r="AA31" s="886"/>
      <c r="AB31" s="886"/>
      <c r="AC31" s="886"/>
      <c r="AD31" s="887"/>
      <c r="AF31" s="857" t="s">
        <v>458</v>
      </c>
      <c r="AG31" s="857"/>
      <c r="AH31" s="857"/>
      <c r="AI31" s="857" t="s">
        <v>455</v>
      </c>
      <c r="AJ31" s="857"/>
      <c r="AK31" s="857"/>
    </row>
    <row r="32" spans="2:45" s="35" customFormat="1" x14ac:dyDescent="0.25">
      <c r="B32" s="847" t="s">
        <v>162</v>
      </c>
      <c r="C32" s="847"/>
      <c r="D32" s="847"/>
      <c r="E32" s="847"/>
      <c r="F32" s="8">
        <v>55</v>
      </c>
      <c r="G32" s="891">
        <v>2100</v>
      </c>
      <c r="H32" s="829"/>
      <c r="I32" s="829"/>
      <c r="J32" s="964" t="s">
        <v>174</v>
      </c>
      <c r="K32" s="964"/>
      <c r="L32"/>
      <c r="M32" s="981" t="s">
        <v>1155</v>
      </c>
      <c r="N32" s="982"/>
      <c r="O32" s="982"/>
      <c r="P32" s="982"/>
      <c r="Q32" s="982"/>
      <c r="R32" s="982"/>
      <c r="S32" s="982"/>
      <c r="T32" s="982"/>
      <c r="U32" s="982"/>
      <c r="V32" s="983"/>
      <c r="AF32" s="857"/>
      <c r="AG32" s="857"/>
      <c r="AH32" s="857"/>
      <c r="AI32" s="857"/>
      <c r="AJ32" s="857"/>
      <c r="AK32" s="857"/>
    </row>
    <row r="33" spans="2:40" s="35" customFormat="1" x14ac:dyDescent="0.25">
      <c r="B33" s="847" t="s">
        <v>162</v>
      </c>
      <c r="C33" s="847"/>
      <c r="D33" s="847"/>
      <c r="E33" s="847"/>
      <c r="F33" s="8">
        <v>60</v>
      </c>
      <c r="G33" s="891">
        <v>2200</v>
      </c>
      <c r="H33" s="829"/>
      <c r="I33" s="829"/>
      <c r="J33" s="964" t="s">
        <v>174</v>
      </c>
      <c r="K33" s="964"/>
      <c r="L33"/>
      <c r="M33"/>
      <c r="N33"/>
      <c r="O33"/>
      <c r="P33" s="10"/>
      <c r="Q33"/>
      <c r="R33"/>
      <c r="S33"/>
      <c r="T33"/>
      <c r="U33"/>
      <c r="V33"/>
      <c r="W33"/>
      <c r="X33"/>
      <c r="AF33" s="847">
        <v>0</v>
      </c>
      <c r="AG33" s="847"/>
      <c r="AH33" s="847"/>
      <c r="AI33" s="844">
        <v>0</v>
      </c>
      <c r="AJ33" s="844"/>
      <c r="AK33" s="844"/>
    </row>
    <row r="34" spans="2:40" s="35" customFormat="1" x14ac:dyDescent="0.25">
      <c r="B34" s="979" t="s">
        <v>163</v>
      </c>
      <c r="C34" s="979"/>
      <c r="D34" s="979"/>
      <c r="E34" s="979"/>
      <c r="F34" s="9">
        <v>0</v>
      </c>
      <c r="G34" s="891">
        <v>1600</v>
      </c>
      <c r="H34" s="829"/>
      <c r="I34" s="829"/>
      <c r="J34" s="984" t="s">
        <v>175</v>
      </c>
      <c r="K34" s="984"/>
      <c r="L34"/>
      <c r="M34"/>
      <c r="N34"/>
      <c r="O34"/>
      <c r="P34" s="10"/>
      <c r="Q34"/>
      <c r="R34"/>
      <c r="S34"/>
      <c r="T34"/>
      <c r="U34"/>
      <c r="V34"/>
      <c r="W34"/>
      <c r="X34"/>
      <c r="AF34" s="847">
        <v>10</v>
      </c>
      <c r="AG34" s="847"/>
      <c r="AH34" s="847"/>
      <c r="AI34" s="844">
        <v>2.5</v>
      </c>
      <c r="AJ34" s="844"/>
      <c r="AK34" s="844"/>
    </row>
    <row r="35" spans="2:40" s="35" customFormat="1" x14ac:dyDescent="0.25">
      <c r="B35" s="980" t="s">
        <v>223</v>
      </c>
      <c r="C35" s="980"/>
      <c r="D35" s="980"/>
      <c r="E35" s="980"/>
      <c r="F35" s="980"/>
      <c r="G35" s="980"/>
      <c r="H35" s="980"/>
      <c r="I35" s="980"/>
      <c r="J35" s="980"/>
      <c r="K35" s="980"/>
      <c r="L35"/>
      <c r="M35"/>
      <c r="N35"/>
      <c r="O35"/>
      <c r="P35" s="10"/>
      <c r="Q35"/>
      <c r="R35"/>
      <c r="S35"/>
      <c r="T35"/>
      <c r="U35"/>
      <c r="V35"/>
      <c r="W35"/>
      <c r="X35"/>
      <c r="AF35" s="847">
        <v>20</v>
      </c>
      <c r="AG35" s="847"/>
      <c r="AH35" s="847"/>
      <c r="AI35" s="844">
        <v>5</v>
      </c>
      <c r="AJ35" s="844"/>
      <c r="AK35" s="844"/>
    </row>
    <row r="36" spans="2:40" s="35" customFormat="1" x14ac:dyDescent="0.25">
      <c r="B36" s="980"/>
      <c r="C36" s="980"/>
      <c r="D36" s="980"/>
      <c r="E36" s="980"/>
      <c r="F36" s="980"/>
      <c r="G36" s="980"/>
      <c r="H36" s="980"/>
      <c r="I36" s="980"/>
      <c r="J36" s="980"/>
      <c r="K36" s="980"/>
      <c r="L36"/>
      <c r="M36"/>
      <c r="N36"/>
      <c r="O36"/>
      <c r="P36" s="10"/>
      <c r="Q36"/>
      <c r="R36"/>
      <c r="S36"/>
      <c r="T36"/>
      <c r="U36"/>
      <c r="V36"/>
      <c r="W36"/>
      <c r="X36"/>
      <c r="AF36" s="847">
        <v>30</v>
      </c>
      <c r="AG36" s="847"/>
      <c r="AH36" s="847"/>
      <c r="AI36" s="844">
        <v>7.5</v>
      </c>
      <c r="AJ36" s="844"/>
      <c r="AK36" s="844"/>
    </row>
    <row r="37" spans="2:40" s="35" customFormat="1" x14ac:dyDescent="0.25">
      <c r="B37" s="980"/>
      <c r="C37" s="980"/>
      <c r="D37" s="980"/>
      <c r="E37" s="980"/>
      <c r="F37" s="980"/>
      <c r="G37" s="980"/>
      <c r="H37" s="980"/>
      <c r="I37" s="980"/>
      <c r="J37" s="980"/>
      <c r="K37" s="980"/>
      <c r="L37"/>
      <c r="M37"/>
      <c r="N37"/>
      <c r="O37"/>
      <c r="P37" s="10"/>
      <c r="Q37"/>
      <c r="R37"/>
      <c r="S37"/>
      <c r="T37"/>
      <c r="U37"/>
      <c r="V37"/>
      <c r="W37"/>
      <c r="X37"/>
      <c r="AF37" s="847">
        <v>40</v>
      </c>
      <c r="AG37" s="847"/>
      <c r="AH37" s="847"/>
      <c r="AI37" s="844">
        <v>10</v>
      </c>
      <c r="AJ37" s="844"/>
      <c r="AK37" s="844"/>
    </row>
    <row r="38" spans="2:40" s="35" customFormat="1" x14ac:dyDescent="0.25">
      <c r="B38" s="22"/>
      <c r="C38" s="22"/>
      <c r="D38" s="22"/>
      <c r="E38" s="22"/>
      <c r="F38" s="22"/>
      <c r="G38" s="22"/>
      <c r="H38" s="22"/>
      <c r="I38" s="22"/>
      <c r="J38" s="22"/>
      <c r="K38" s="22"/>
      <c r="L38" s="22"/>
      <c r="M38" s="22"/>
      <c r="O38" s="22"/>
      <c r="P38" s="22"/>
      <c r="Q38" s="22"/>
      <c r="R38" s="22"/>
      <c r="S38" s="22"/>
      <c r="T38" s="22"/>
      <c r="U38" s="22"/>
      <c r="AF38" s="915" t="s">
        <v>456</v>
      </c>
      <c r="AG38" s="916"/>
      <c r="AH38" s="916"/>
      <c r="AI38" s="916"/>
      <c r="AJ38" s="916"/>
      <c r="AK38" s="917"/>
    </row>
    <row r="39" spans="2:40" s="35" customFormat="1" x14ac:dyDescent="0.25"/>
    <row r="40" spans="2:40" s="21" customFormat="1" ht="18" customHeight="1" x14ac:dyDescent="0.25">
      <c r="B40" s="873" t="s">
        <v>477</v>
      </c>
      <c r="C40" s="873"/>
      <c r="D40" s="873"/>
      <c r="E40" s="873"/>
      <c r="F40" s="873"/>
      <c r="G40" s="873"/>
      <c r="H40" s="873"/>
      <c r="I40" s="873"/>
      <c r="K40" s="967" t="s">
        <v>478</v>
      </c>
      <c r="L40" s="968"/>
      <c r="M40" s="968"/>
      <c r="N40" s="968"/>
      <c r="O40" s="968"/>
      <c r="P40" s="968"/>
      <c r="Q40" s="968"/>
      <c r="R40" s="969"/>
      <c r="T40" s="840" t="s">
        <v>479</v>
      </c>
      <c r="U40" s="840"/>
      <c r="V40" s="840"/>
      <c r="W40" s="840"/>
      <c r="X40" s="840"/>
      <c r="Y40" s="840"/>
      <c r="Z40" s="840"/>
      <c r="AA40" s="840"/>
      <c r="AB40" s="840"/>
      <c r="AC40" s="840"/>
      <c r="AD40" s="840"/>
      <c r="AF40" s="873" t="s">
        <v>480</v>
      </c>
      <c r="AG40" s="873"/>
      <c r="AH40" s="873"/>
      <c r="AI40" s="873"/>
      <c r="AJ40" s="873"/>
      <c r="AK40" s="873"/>
      <c r="AL40" s="873"/>
      <c r="AM40" s="89"/>
      <c r="AN40" s="89"/>
    </row>
    <row r="41" spans="2:40" s="35" customFormat="1" x14ac:dyDescent="0.25">
      <c r="B41" s="873"/>
      <c r="C41" s="873"/>
      <c r="D41" s="873"/>
      <c r="E41" s="873"/>
      <c r="F41" s="873"/>
      <c r="G41" s="873"/>
      <c r="H41" s="873"/>
      <c r="I41" s="873"/>
      <c r="K41" s="970"/>
      <c r="L41" s="971"/>
      <c r="M41" s="971"/>
      <c r="N41" s="971"/>
      <c r="O41" s="971"/>
      <c r="P41" s="971"/>
      <c r="Q41" s="971"/>
      <c r="R41" s="972"/>
      <c r="T41" s="953" t="s">
        <v>191</v>
      </c>
      <c r="U41" s="953"/>
      <c r="V41" s="953"/>
      <c r="W41" s="845" t="s">
        <v>460</v>
      </c>
      <c r="X41" s="845"/>
      <c r="Y41" s="845"/>
      <c r="Z41" s="845"/>
      <c r="AA41" s="845"/>
      <c r="AB41" s="845"/>
      <c r="AC41" s="845"/>
      <c r="AD41" s="845"/>
      <c r="AF41" s="873"/>
      <c r="AG41" s="873"/>
      <c r="AH41" s="873"/>
      <c r="AI41" s="873"/>
      <c r="AJ41" s="873"/>
      <c r="AK41" s="873"/>
      <c r="AL41" s="873"/>
      <c r="AM41" s="89"/>
      <c r="AN41" s="89"/>
    </row>
    <row r="42" spans="2:40" s="35" customFormat="1" ht="15" customHeight="1" x14ac:dyDescent="0.25">
      <c r="B42" s="953" t="s">
        <v>452</v>
      </c>
      <c r="C42" s="953"/>
      <c r="D42" s="953"/>
      <c r="E42" s="953"/>
      <c r="F42" s="1011" t="s">
        <v>454</v>
      </c>
      <c r="G42" s="1012"/>
      <c r="H42" s="1012"/>
      <c r="I42" s="1013"/>
      <c r="K42" s="973" t="s">
        <v>472</v>
      </c>
      <c r="L42" s="974"/>
      <c r="M42" s="974"/>
      <c r="N42" s="974"/>
      <c r="O42" s="975"/>
      <c r="P42" s="973" t="s">
        <v>455</v>
      </c>
      <c r="Q42" s="974"/>
      <c r="R42" s="975"/>
      <c r="T42" s="953"/>
      <c r="U42" s="953"/>
      <c r="V42" s="953"/>
      <c r="W42" s="845" t="s">
        <v>461</v>
      </c>
      <c r="X42" s="845"/>
      <c r="Y42" s="845" t="s">
        <v>462</v>
      </c>
      <c r="Z42" s="845"/>
      <c r="AA42" s="845" t="s">
        <v>463</v>
      </c>
      <c r="AB42" s="845"/>
      <c r="AC42" s="845" t="s">
        <v>464</v>
      </c>
      <c r="AD42" s="845"/>
      <c r="AF42" s="857" t="s">
        <v>190</v>
      </c>
      <c r="AG42" s="845"/>
      <c r="AH42" s="845"/>
      <c r="AI42" s="845"/>
      <c r="AJ42" s="857" t="s">
        <v>180</v>
      </c>
      <c r="AK42" s="857"/>
      <c r="AL42" s="857"/>
    </row>
    <row r="43" spans="2:40" s="35" customFormat="1" x14ac:dyDescent="0.25">
      <c r="B43" s="791" t="s">
        <v>453</v>
      </c>
      <c r="C43" s="791" t="s">
        <v>455</v>
      </c>
      <c r="D43" s="791"/>
      <c r="E43" s="791"/>
      <c r="F43" s="791" t="s">
        <v>453</v>
      </c>
      <c r="G43" s="791" t="s">
        <v>455</v>
      </c>
      <c r="H43" s="791"/>
      <c r="I43" s="791"/>
      <c r="K43" s="976"/>
      <c r="L43" s="977"/>
      <c r="M43" s="977"/>
      <c r="N43" s="977"/>
      <c r="O43" s="978"/>
      <c r="P43" s="976"/>
      <c r="Q43" s="977"/>
      <c r="R43" s="978"/>
      <c r="T43" s="396">
        <v>9</v>
      </c>
      <c r="U43" s="401" t="s">
        <v>193</v>
      </c>
      <c r="V43" s="401">
        <v>10</v>
      </c>
      <c r="W43" s="926">
        <v>6.4</v>
      </c>
      <c r="X43" s="927"/>
      <c r="Y43" s="926">
        <v>4.8</v>
      </c>
      <c r="Z43" s="927"/>
      <c r="AA43" s="926">
        <v>3.5</v>
      </c>
      <c r="AB43" s="927"/>
      <c r="AC43" s="926">
        <v>2.2000000000000002</v>
      </c>
      <c r="AD43" s="927"/>
      <c r="AF43" s="845"/>
      <c r="AG43" s="845"/>
      <c r="AH43" s="845"/>
      <c r="AI43" s="845"/>
      <c r="AJ43" s="857"/>
      <c r="AK43" s="857"/>
      <c r="AL43" s="857"/>
    </row>
    <row r="44" spans="2:40" s="35" customFormat="1" x14ac:dyDescent="0.25">
      <c r="B44" s="791"/>
      <c r="C44" s="791"/>
      <c r="D44" s="791"/>
      <c r="E44" s="791"/>
      <c r="F44" s="791"/>
      <c r="G44" s="791"/>
      <c r="H44" s="791"/>
      <c r="I44" s="791"/>
      <c r="K44" s="891" t="s">
        <v>449</v>
      </c>
      <c r="L44" s="829"/>
      <c r="M44" s="829"/>
      <c r="N44" s="829"/>
      <c r="O44" s="892"/>
      <c r="P44" s="926">
        <v>0</v>
      </c>
      <c r="Q44" s="966"/>
      <c r="R44" s="927"/>
      <c r="T44" s="396">
        <v>10</v>
      </c>
      <c r="U44" s="401" t="s">
        <v>193</v>
      </c>
      <c r="V44" s="401">
        <v>11</v>
      </c>
      <c r="W44" s="926">
        <v>5.3</v>
      </c>
      <c r="X44" s="927"/>
      <c r="Y44" s="926">
        <v>3.7</v>
      </c>
      <c r="Z44" s="927"/>
      <c r="AA44" s="926">
        <v>2.4</v>
      </c>
      <c r="AB44" s="927"/>
      <c r="AC44" s="926">
        <v>1.1000000000000001</v>
      </c>
      <c r="AD44" s="927"/>
      <c r="AF44" s="847" t="s">
        <v>161</v>
      </c>
      <c r="AG44" s="847"/>
      <c r="AH44" s="847"/>
      <c r="AI44" s="847"/>
      <c r="AJ44" s="847">
        <v>1600</v>
      </c>
      <c r="AK44" s="847"/>
      <c r="AL44" s="847"/>
    </row>
    <row r="45" spans="2:40" s="35" customFormat="1" x14ac:dyDescent="0.25">
      <c r="B45" s="65">
        <v>0</v>
      </c>
      <c r="C45" s="910">
        <v>5.4</v>
      </c>
      <c r="D45" s="910"/>
      <c r="E45" s="910"/>
      <c r="F45" s="65">
        <v>0</v>
      </c>
      <c r="G45" s="910">
        <v>3.9</v>
      </c>
      <c r="H45" s="910"/>
      <c r="I45" s="910"/>
      <c r="K45" s="891" t="s">
        <v>473</v>
      </c>
      <c r="L45" s="829"/>
      <c r="M45" s="829"/>
      <c r="N45" s="829"/>
      <c r="O45" s="892"/>
      <c r="P45" s="926">
        <v>0</v>
      </c>
      <c r="Q45" s="966"/>
      <c r="R45" s="927"/>
      <c r="T45" s="396">
        <v>11</v>
      </c>
      <c r="U45" s="401" t="s">
        <v>193</v>
      </c>
      <c r="V45" s="401">
        <v>12</v>
      </c>
      <c r="W45" s="926">
        <v>4.7</v>
      </c>
      <c r="X45" s="927"/>
      <c r="Y45" s="926">
        <v>3</v>
      </c>
      <c r="Z45" s="927"/>
      <c r="AA45" s="926">
        <v>1.7</v>
      </c>
      <c r="AB45" s="927"/>
      <c r="AC45" s="926">
        <v>0.4</v>
      </c>
      <c r="AD45" s="927"/>
      <c r="AF45" s="847" t="s">
        <v>162</v>
      </c>
      <c r="AG45" s="847"/>
      <c r="AH45" s="847"/>
      <c r="AI45" s="847"/>
      <c r="AJ45" s="847">
        <v>1600</v>
      </c>
      <c r="AK45" s="847"/>
      <c r="AL45" s="847"/>
    </row>
    <row r="46" spans="2:40" s="35" customFormat="1" x14ac:dyDescent="0.25">
      <c r="B46" s="87">
        <v>1</v>
      </c>
      <c r="C46" s="910">
        <f>ROUND(AVERAGE(C45,C47),1)</f>
        <v>4.5</v>
      </c>
      <c r="D46" s="910"/>
      <c r="E46" s="910"/>
      <c r="F46" s="87">
        <v>1</v>
      </c>
      <c r="G46" s="910">
        <f>ROUND(AVERAGE(G45,G47),1)</f>
        <v>3.4</v>
      </c>
      <c r="H46" s="910"/>
      <c r="I46" s="910"/>
      <c r="K46" s="891" t="s">
        <v>447</v>
      </c>
      <c r="L46" s="829"/>
      <c r="M46" s="829"/>
      <c r="N46" s="829"/>
      <c r="O46" s="892"/>
      <c r="P46" s="926">
        <v>1.6</v>
      </c>
      <c r="Q46" s="966"/>
      <c r="R46" s="927"/>
      <c r="T46" s="396">
        <v>12</v>
      </c>
      <c r="U46" s="401" t="s">
        <v>459</v>
      </c>
      <c r="V46" s="401"/>
      <c r="W46" s="926">
        <v>4.2</v>
      </c>
      <c r="X46" s="927"/>
      <c r="Y46" s="926">
        <v>2.6</v>
      </c>
      <c r="Z46" s="927"/>
      <c r="AA46" s="926">
        <v>1.3</v>
      </c>
      <c r="AB46" s="927"/>
      <c r="AC46" s="926">
        <v>0</v>
      </c>
      <c r="AD46" s="927"/>
      <c r="AF46" s="874" t="s">
        <v>163</v>
      </c>
      <c r="AG46" s="874"/>
      <c r="AH46" s="874"/>
      <c r="AI46" s="874"/>
      <c r="AJ46" s="874">
        <v>1600</v>
      </c>
      <c r="AK46" s="874"/>
      <c r="AL46" s="874"/>
    </row>
    <row r="47" spans="2:40" s="35" customFormat="1" x14ac:dyDescent="0.25">
      <c r="B47" s="65">
        <v>2</v>
      </c>
      <c r="C47" s="910">
        <v>3.6</v>
      </c>
      <c r="D47" s="910"/>
      <c r="E47" s="910"/>
      <c r="F47" s="65">
        <v>2</v>
      </c>
      <c r="G47" s="910">
        <v>2.8</v>
      </c>
      <c r="H47" s="910"/>
      <c r="I47" s="910"/>
      <c r="K47" s="915" t="s">
        <v>456</v>
      </c>
      <c r="L47" s="916"/>
      <c r="M47" s="916"/>
      <c r="N47" s="916"/>
      <c r="O47" s="916"/>
      <c r="P47" s="916"/>
      <c r="Q47" s="916"/>
      <c r="R47" s="917"/>
      <c r="T47" s="911" t="s">
        <v>465</v>
      </c>
      <c r="U47" s="911"/>
      <c r="V47" s="911"/>
      <c r="W47" s="911"/>
      <c r="X47" s="911"/>
      <c r="Y47" s="911"/>
      <c r="Z47" s="911"/>
      <c r="AA47" s="911"/>
      <c r="AB47" s="911"/>
      <c r="AC47" s="911"/>
      <c r="AD47" s="911"/>
      <c r="AF47" s="930" t="s">
        <v>225</v>
      </c>
      <c r="AG47" s="931"/>
      <c r="AH47" s="931"/>
      <c r="AI47" s="931"/>
      <c r="AJ47" s="931"/>
      <c r="AK47" s="931"/>
      <c r="AL47" s="932"/>
    </row>
    <row r="48" spans="2:40" s="35" customFormat="1" x14ac:dyDescent="0.25">
      <c r="B48" s="87">
        <v>3</v>
      </c>
      <c r="C48" s="910">
        <f>ROUND(AVERAGE(C47,C49),1)</f>
        <v>2.7</v>
      </c>
      <c r="D48" s="910"/>
      <c r="E48" s="910"/>
      <c r="F48" s="87">
        <v>3</v>
      </c>
      <c r="G48" s="910">
        <f>ROUND(AVERAGE(G47,G49),1)</f>
        <v>2.2999999999999998</v>
      </c>
      <c r="H48" s="910"/>
      <c r="I48" s="910"/>
      <c r="AF48" s="864" t="s">
        <v>525</v>
      </c>
      <c r="AG48" s="865"/>
      <c r="AH48" s="865"/>
      <c r="AI48" s="865"/>
      <c r="AJ48" s="865"/>
      <c r="AK48" s="865"/>
      <c r="AL48" s="866"/>
    </row>
    <row r="49" spans="2:38" s="35" customFormat="1" x14ac:dyDescent="0.25">
      <c r="B49" s="87">
        <v>4</v>
      </c>
      <c r="C49" s="912">
        <v>1.8</v>
      </c>
      <c r="D49" s="913"/>
      <c r="E49" s="914"/>
      <c r="F49" s="87">
        <v>4</v>
      </c>
      <c r="G49" s="912">
        <v>1.7</v>
      </c>
      <c r="H49" s="913"/>
      <c r="I49" s="914"/>
      <c r="K49" s="873" t="s">
        <v>481</v>
      </c>
      <c r="L49" s="873"/>
      <c r="M49" s="873"/>
      <c r="N49" s="873"/>
      <c r="O49" s="873"/>
      <c r="P49" s="873"/>
    </row>
    <row r="50" spans="2:38" s="35" customFormat="1" x14ac:dyDescent="0.25">
      <c r="B50" s="87">
        <v>5</v>
      </c>
      <c r="C50" s="910">
        <f>ROUND(AVERAGE(C49,C51),1)</f>
        <v>1.6</v>
      </c>
      <c r="D50" s="910"/>
      <c r="E50" s="910"/>
      <c r="F50" s="87">
        <v>5</v>
      </c>
      <c r="G50" s="910">
        <f>ROUND(AVERAGE(G49,G51),1)</f>
        <v>1.5</v>
      </c>
      <c r="H50" s="910"/>
      <c r="I50" s="910"/>
      <c r="K50" s="873"/>
      <c r="L50" s="873"/>
      <c r="M50" s="873"/>
      <c r="N50" s="873"/>
      <c r="O50" s="873"/>
      <c r="P50" s="873"/>
      <c r="T50" s="873" t="s">
        <v>482</v>
      </c>
      <c r="U50" s="873"/>
      <c r="V50" s="873"/>
      <c r="W50" s="873"/>
      <c r="X50" s="873"/>
      <c r="Y50" s="873"/>
      <c r="AD50" s="870" t="s">
        <v>483</v>
      </c>
      <c r="AE50" s="870"/>
      <c r="AF50" s="870"/>
      <c r="AG50" s="870"/>
      <c r="AH50" s="870"/>
      <c r="AI50" s="870"/>
      <c r="AJ50" s="870"/>
      <c r="AK50" s="870"/>
      <c r="AL50" s="870"/>
    </row>
    <row r="51" spans="2:38" s="35" customFormat="1" x14ac:dyDescent="0.25">
      <c r="B51" s="87">
        <v>6</v>
      </c>
      <c r="C51" s="912">
        <v>1.3</v>
      </c>
      <c r="D51" s="913"/>
      <c r="E51" s="914"/>
      <c r="F51" s="87">
        <v>6</v>
      </c>
      <c r="G51" s="912">
        <v>1.3</v>
      </c>
      <c r="H51" s="913"/>
      <c r="I51" s="914"/>
      <c r="K51" s="857" t="s">
        <v>189</v>
      </c>
      <c r="L51" s="845"/>
      <c r="M51" s="845"/>
      <c r="N51" s="857" t="s">
        <v>180</v>
      </c>
      <c r="O51" s="857"/>
      <c r="P51" s="857"/>
      <c r="T51" s="873"/>
      <c r="U51" s="873"/>
      <c r="V51" s="873"/>
      <c r="W51" s="873"/>
      <c r="X51" s="873"/>
      <c r="Y51" s="873"/>
      <c r="AD51" s="870"/>
      <c r="AE51" s="870"/>
      <c r="AF51" s="870"/>
      <c r="AG51" s="870"/>
      <c r="AH51" s="870"/>
      <c r="AI51" s="870"/>
      <c r="AJ51" s="870"/>
      <c r="AK51" s="870"/>
      <c r="AL51" s="870"/>
    </row>
    <row r="52" spans="2:38" s="35" customFormat="1" x14ac:dyDescent="0.25">
      <c r="B52" s="87">
        <v>7</v>
      </c>
      <c r="C52" s="910">
        <f>ROUND(AVERAGE(C51,C53),1)</f>
        <v>1.1000000000000001</v>
      </c>
      <c r="D52" s="910"/>
      <c r="E52" s="910"/>
      <c r="F52" s="87">
        <v>7</v>
      </c>
      <c r="G52" s="910">
        <f>ROUND(AVERAGE(G51,G53),1)</f>
        <v>1.1000000000000001</v>
      </c>
      <c r="H52" s="910"/>
      <c r="I52" s="910"/>
      <c r="K52" s="845"/>
      <c r="L52" s="845"/>
      <c r="M52" s="845"/>
      <c r="N52" s="857"/>
      <c r="O52" s="857"/>
      <c r="P52" s="857"/>
      <c r="T52" s="845" t="s">
        <v>191</v>
      </c>
      <c r="U52" s="845"/>
      <c r="V52" s="845"/>
      <c r="W52" s="845"/>
      <c r="X52" s="845" t="s">
        <v>192</v>
      </c>
      <c r="Y52" s="845"/>
      <c r="AD52" s="791" t="s">
        <v>7</v>
      </c>
      <c r="AE52" s="791"/>
      <c r="AF52" s="791"/>
      <c r="AG52" s="791" t="s">
        <v>187</v>
      </c>
      <c r="AH52" s="791"/>
      <c r="AI52" s="791"/>
      <c r="AJ52" s="791" t="s">
        <v>188</v>
      </c>
      <c r="AK52" s="791"/>
      <c r="AL52" s="791"/>
    </row>
    <row r="53" spans="2:38" s="35" customFormat="1" x14ac:dyDescent="0.25">
      <c r="B53" s="87">
        <v>8</v>
      </c>
      <c r="C53" s="912">
        <v>0.9</v>
      </c>
      <c r="D53" s="913"/>
      <c r="E53" s="914"/>
      <c r="F53" s="87">
        <v>8</v>
      </c>
      <c r="G53" s="912">
        <v>0.9</v>
      </c>
      <c r="H53" s="913"/>
      <c r="I53" s="914"/>
      <c r="K53" s="847" t="s">
        <v>181</v>
      </c>
      <c r="L53" s="847"/>
      <c r="M53" s="847"/>
      <c r="N53" s="847">
        <v>1400</v>
      </c>
      <c r="O53" s="847"/>
      <c r="P53" s="847"/>
      <c r="T53" s="19">
        <v>9</v>
      </c>
      <c r="U53" s="402" t="s">
        <v>193</v>
      </c>
      <c r="V53" s="403">
        <v>9.9</v>
      </c>
      <c r="W53" s="404"/>
      <c r="X53" s="928">
        <v>0.86</v>
      </c>
      <c r="Y53" s="929"/>
      <c r="AD53" s="791"/>
      <c r="AE53" s="791"/>
      <c r="AF53" s="791"/>
      <c r="AG53" s="791"/>
      <c r="AH53" s="791"/>
      <c r="AI53" s="791"/>
      <c r="AJ53" s="791"/>
      <c r="AK53" s="791"/>
      <c r="AL53" s="791"/>
    </row>
    <row r="54" spans="2:38" s="35" customFormat="1" ht="15" customHeight="1" x14ac:dyDescent="0.25">
      <c r="B54" s="87">
        <v>9</v>
      </c>
      <c r="C54" s="910">
        <f>ROUND(AVERAGE(C53,C55),1)</f>
        <v>0.7</v>
      </c>
      <c r="D54" s="910"/>
      <c r="E54" s="910"/>
      <c r="F54" s="87">
        <v>9</v>
      </c>
      <c r="G54" s="910">
        <f>ROUND(AVERAGE(G53,G55),1)</f>
        <v>0.7</v>
      </c>
      <c r="H54" s="910"/>
      <c r="I54" s="910"/>
      <c r="K54" s="847" t="s">
        <v>182</v>
      </c>
      <c r="L54" s="847"/>
      <c r="M54" s="847"/>
      <c r="N54" s="847">
        <v>1450</v>
      </c>
      <c r="O54" s="847"/>
      <c r="P54" s="847"/>
      <c r="T54" s="19">
        <v>10</v>
      </c>
      <c r="U54" s="402" t="s">
        <v>193</v>
      </c>
      <c r="V54" s="403">
        <v>11.9</v>
      </c>
      <c r="W54" s="404"/>
      <c r="X54" s="928">
        <v>0.91</v>
      </c>
      <c r="Y54" s="929"/>
      <c r="AD54" s="847" t="s">
        <v>119</v>
      </c>
      <c r="AE54" s="847"/>
      <c r="AF54" s="847"/>
      <c r="AG54" s="844">
        <v>1.5</v>
      </c>
      <c r="AH54" s="844"/>
      <c r="AI54" s="844"/>
      <c r="AJ54" s="844">
        <v>1.2</v>
      </c>
      <c r="AK54" s="844"/>
      <c r="AL54" s="844"/>
    </row>
    <row r="55" spans="2:38" s="35" customFormat="1" x14ac:dyDescent="0.25">
      <c r="B55" s="87">
        <v>10</v>
      </c>
      <c r="C55" s="912">
        <v>0.4</v>
      </c>
      <c r="D55" s="913"/>
      <c r="E55" s="914"/>
      <c r="F55" s="87">
        <v>10</v>
      </c>
      <c r="G55" s="912">
        <v>0.4</v>
      </c>
      <c r="H55" s="913"/>
      <c r="I55" s="914"/>
      <c r="K55" s="847" t="s">
        <v>183</v>
      </c>
      <c r="L55" s="847"/>
      <c r="M55" s="847"/>
      <c r="N55" s="847">
        <v>1450</v>
      </c>
      <c r="O55" s="847"/>
      <c r="P55" s="847"/>
      <c r="T55" s="19">
        <v>12</v>
      </c>
      <c r="U55" s="402" t="s">
        <v>193</v>
      </c>
      <c r="V55" s="403" t="s">
        <v>194</v>
      </c>
      <c r="W55" s="404"/>
      <c r="X55" s="928">
        <v>1</v>
      </c>
      <c r="Y55" s="929"/>
      <c r="AD55" s="847" t="s">
        <v>123</v>
      </c>
      <c r="AE55" s="847"/>
      <c r="AF55" s="847"/>
      <c r="AG55" s="844">
        <v>4.5</v>
      </c>
      <c r="AH55" s="844"/>
      <c r="AI55" s="844"/>
      <c r="AJ55" s="844">
        <v>4</v>
      </c>
      <c r="AK55" s="844"/>
      <c r="AL55" s="844"/>
    </row>
    <row r="56" spans="2:38" s="35" customFormat="1" x14ac:dyDescent="0.25">
      <c r="B56" s="87">
        <v>11</v>
      </c>
      <c r="C56" s="910">
        <f>ROUND(AVERAGE(C55,C57),1)</f>
        <v>0.2</v>
      </c>
      <c r="D56" s="910"/>
      <c r="E56" s="910"/>
      <c r="F56" s="87">
        <v>11</v>
      </c>
      <c r="G56" s="910">
        <f>ROUND(AVERAGE(G55,G57),1)</f>
        <v>0.2</v>
      </c>
      <c r="H56" s="910"/>
      <c r="I56" s="910"/>
      <c r="K56" s="847" t="s">
        <v>184</v>
      </c>
      <c r="L56" s="847"/>
      <c r="M56" s="847"/>
      <c r="N56" s="847">
        <v>1500</v>
      </c>
      <c r="O56" s="847"/>
      <c r="P56" s="847"/>
      <c r="T56" s="989" t="s">
        <v>226</v>
      </c>
      <c r="U56" s="989"/>
      <c r="V56" s="989"/>
      <c r="W56" s="989"/>
      <c r="X56" s="989"/>
      <c r="Y56" s="989"/>
      <c r="AD56" s="847" t="s">
        <v>121</v>
      </c>
      <c r="AE56" s="847"/>
      <c r="AF56" s="847"/>
      <c r="AG56" s="844">
        <v>2.5</v>
      </c>
      <c r="AH56" s="844"/>
      <c r="AI56" s="844"/>
      <c r="AJ56" s="844">
        <v>2</v>
      </c>
      <c r="AK56" s="844"/>
      <c r="AL56" s="844"/>
    </row>
    <row r="57" spans="2:38" s="35" customFormat="1" x14ac:dyDescent="0.25">
      <c r="B57" s="87">
        <v>12</v>
      </c>
      <c r="C57" s="912">
        <v>0</v>
      </c>
      <c r="D57" s="913"/>
      <c r="E57" s="914"/>
      <c r="F57" s="87">
        <v>12</v>
      </c>
      <c r="G57" s="912">
        <v>0</v>
      </c>
      <c r="H57" s="913"/>
      <c r="I57" s="914"/>
      <c r="K57" s="847" t="s">
        <v>185</v>
      </c>
      <c r="L57" s="847"/>
      <c r="M57" s="847"/>
      <c r="N57" s="847">
        <v>1450</v>
      </c>
      <c r="O57" s="847"/>
      <c r="P57" s="847"/>
      <c r="AD57" s="918" t="s">
        <v>227</v>
      </c>
      <c r="AE57" s="919"/>
      <c r="AF57" s="919"/>
      <c r="AG57" s="919"/>
      <c r="AH57" s="919"/>
      <c r="AI57" s="919"/>
      <c r="AJ57" s="919"/>
      <c r="AK57" s="919"/>
      <c r="AL57" s="920"/>
    </row>
    <row r="58" spans="2:38" s="35" customFormat="1" x14ac:dyDescent="0.25">
      <c r="B58" s="915" t="s">
        <v>456</v>
      </c>
      <c r="C58" s="916"/>
      <c r="D58" s="916"/>
      <c r="E58" s="916"/>
      <c r="F58" s="916"/>
      <c r="G58" s="916"/>
      <c r="H58" s="916"/>
      <c r="I58" s="917"/>
      <c r="K58" s="847" t="s">
        <v>186</v>
      </c>
      <c r="L58" s="847"/>
      <c r="M58" s="847"/>
      <c r="N58" s="847">
        <v>1350</v>
      </c>
      <c r="O58" s="847"/>
      <c r="P58" s="847"/>
    </row>
    <row r="59" spans="2:38" s="35" customFormat="1" x14ac:dyDescent="0.25">
      <c r="K59" s="867" t="s">
        <v>226</v>
      </c>
      <c r="L59" s="868"/>
      <c r="M59" s="868"/>
      <c r="N59" s="868"/>
      <c r="O59" s="868"/>
      <c r="P59" s="869"/>
      <c r="AD59" s="59"/>
    </row>
    <row r="60" spans="2:38" s="35" customFormat="1" x14ac:dyDescent="0.25"/>
    <row r="61" spans="2:38" s="35" customFormat="1" x14ac:dyDescent="0.25"/>
    <row r="62" spans="2:38" s="35" customFormat="1" x14ac:dyDescent="0.25">
      <c r="B62" s="873" t="s">
        <v>484</v>
      </c>
      <c r="C62" s="873"/>
      <c r="D62" s="873"/>
      <c r="E62" s="873"/>
      <c r="I62" s="889" t="s">
        <v>485</v>
      </c>
      <c r="J62" s="890"/>
      <c r="K62" s="890"/>
      <c r="L62" s="890"/>
      <c r="M62" s="890"/>
      <c r="N62" s="890"/>
      <c r="O62" s="890"/>
      <c r="P62" s="890"/>
      <c r="R62" s="870" t="s">
        <v>486</v>
      </c>
      <c r="S62" s="870"/>
      <c r="T62" s="870"/>
      <c r="U62" s="870"/>
      <c r="V62" s="870"/>
      <c r="W62" s="870"/>
      <c r="X62" s="870"/>
      <c r="Y62" s="870"/>
      <c r="Z62" s="870"/>
      <c r="AA62" s="870"/>
      <c r="AB62" s="870"/>
      <c r="AC62" s="870"/>
      <c r="AD62" s="870"/>
      <c r="AE62" s="870"/>
      <c r="AF62" s="870"/>
      <c r="AG62" s="870"/>
      <c r="AH62" s="870"/>
      <c r="AI62" s="870"/>
    </row>
    <row r="63" spans="2:38" s="35" customFormat="1" x14ac:dyDescent="0.25">
      <c r="B63" s="873"/>
      <c r="C63" s="873"/>
      <c r="D63" s="873"/>
      <c r="E63" s="873"/>
      <c r="I63" s="845" t="s">
        <v>197</v>
      </c>
      <c r="J63" s="845"/>
      <c r="K63" s="845"/>
      <c r="L63" s="845"/>
      <c r="M63" s="845"/>
      <c r="N63" s="613" t="s">
        <v>198</v>
      </c>
      <c r="O63" s="699"/>
      <c r="P63" s="614"/>
      <c r="R63" s="870"/>
      <c r="S63" s="870"/>
      <c r="T63" s="870"/>
      <c r="U63" s="870"/>
      <c r="V63" s="870"/>
      <c r="W63" s="870"/>
      <c r="X63" s="870"/>
      <c r="Y63" s="870"/>
      <c r="Z63" s="870"/>
      <c r="AA63" s="870"/>
      <c r="AB63" s="870"/>
      <c r="AC63" s="870"/>
      <c r="AD63" s="870"/>
      <c r="AE63" s="870"/>
      <c r="AF63" s="870"/>
      <c r="AG63" s="870"/>
      <c r="AH63" s="870"/>
      <c r="AI63" s="870"/>
    </row>
    <row r="64" spans="2:38" s="35" customFormat="1" x14ac:dyDescent="0.25">
      <c r="B64" s="921" t="s">
        <v>170</v>
      </c>
      <c r="C64" s="923" t="s">
        <v>235</v>
      </c>
      <c r="D64" s="924"/>
      <c r="E64" s="925"/>
      <c r="I64" s="847" t="s">
        <v>199</v>
      </c>
      <c r="J64" s="847"/>
      <c r="K64" s="847"/>
      <c r="L64" s="847"/>
      <c r="M64" s="847"/>
      <c r="N64" s="891">
        <v>19</v>
      </c>
      <c r="O64" s="829"/>
      <c r="P64" s="892"/>
      <c r="R64" s="1028" t="s">
        <v>164</v>
      </c>
      <c r="S64" s="1028"/>
      <c r="T64" s="1028"/>
      <c r="U64" s="1028"/>
      <c r="V64" s="1028"/>
      <c r="W64" s="1029"/>
      <c r="X64" s="1017"/>
      <c r="Y64" s="1017"/>
      <c r="Z64" s="407">
        <v>1</v>
      </c>
      <c r="AA64" s="407">
        <v>2</v>
      </c>
      <c r="AB64" s="407">
        <v>3</v>
      </c>
      <c r="AC64" s="407">
        <v>4</v>
      </c>
      <c r="AD64" s="407">
        <v>5</v>
      </c>
      <c r="AE64" s="407">
        <v>6</v>
      </c>
      <c r="AF64" s="407">
        <v>7</v>
      </c>
      <c r="AG64" s="407">
        <v>8</v>
      </c>
      <c r="AH64" s="407">
        <v>9</v>
      </c>
      <c r="AI64" s="407">
        <v>10</v>
      </c>
    </row>
    <row r="65" spans="2:35" s="35" customFormat="1" x14ac:dyDescent="0.25">
      <c r="B65" s="922"/>
      <c r="C65" s="25" t="s">
        <v>203</v>
      </c>
      <c r="D65" s="25" t="s">
        <v>176</v>
      </c>
      <c r="E65" s="25" t="s">
        <v>559</v>
      </c>
      <c r="I65" s="847" t="s">
        <v>201</v>
      </c>
      <c r="J65" s="847"/>
      <c r="K65" s="847"/>
      <c r="L65" s="847"/>
      <c r="M65" s="847"/>
      <c r="N65" s="891">
        <v>30</v>
      </c>
      <c r="O65" s="829"/>
      <c r="P65" s="892"/>
      <c r="R65" s="1017"/>
      <c r="S65" s="1017"/>
      <c r="T65" s="1017"/>
      <c r="U65" s="1017"/>
      <c r="V65" s="1017"/>
      <c r="W65" s="1017"/>
      <c r="X65" s="845" t="s">
        <v>944</v>
      </c>
      <c r="Y65" s="845"/>
      <c r="Z65" s="90"/>
      <c r="AA65" s="91"/>
      <c r="AB65" s="91"/>
      <c r="AC65" s="91"/>
      <c r="AD65" s="91"/>
      <c r="AE65" s="91"/>
      <c r="AF65" s="91"/>
      <c r="AG65" s="91"/>
      <c r="AH65" s="91"/>
      <c r="AI65" s="92"/>
    </row>
    <row r="66" spans="2:35" s="35" customFormat="1" x14ac:dyDescent="0.25">
      <c r="B66" s="23">
        <v>0</v>
      </c>
      <c r="C66" s="24">
        <v>0</v>
      </c>
      <c r="D66" s="24">
        <v>0</v>
      </c>
      <c r="E66" s="24">
        <v>0</v>
      </c>
      <c r="I66" s="847" t="s">
        <v>202</v>
      </c>
      <c r="J66" s="847"/>
      <c r="K66" s="847"/>
      <c r="L66" s="847"/>
      <c r="M66" s="847"/>
      <c r="N66" s="891">
        <v>70</v>
      </c>
      <c r="O66" s="829"/>
      <c r="P66" s="892"/>
      <c r="R66" s="871" t="s">
        <v>10</v>
      </c>
      <c r="S66" s="871"/>
      <c r="T66" s="871"/>
      <c r="U66" s="871"/>
      <c r="V66" s="871"/>
      <c r="W66" s="871"/>
      <c r="X66" s="845">
        <v>1</v>
      </c>
      <c r="Y66" s="845"/>
      <c r="Z66" s="73">
        <v>12</v>
      </c>
      <c r="AA66" s="73">
        <v>12</v>
      </c>
      <c r="AB66" s="73">
        <v>12</v>
      </c>
      <c r="AC66" s="73">
        <v>12</v>
      </c>
      <c r="AD66" s="73">
        <v>12</v>
      </c>
      <c r="AE66" s="73">
        <v>12</v>
      </c>
      <c r="AF66" s="73">
        <v>12</v>
      </c>
      <c r="AG66" s="73">
        <v>12</v>
      </c>
      <c r="AH66" s="73">
        <v>12</v>
      </c>
      <c r="AI66" s="73">
        <v>12</v>
      </c>
    </row>
    <row r="67" spans="2:35" s="35" customFormat="1" x14ac:dyDescent="0.25">
      <c r="B67" s="23">
        <v>5</v>
      </c>
      <c r="C67" s="24">
        <v>4</v>
      </c>
      <c r="D67" s="24">
        <v>3</v>
      </c>
      <c r="E67" s="24">
        <v>4</v>
      </c>
      <c r="I67" s="847" t="s">
        <v>200</v>
      </c>
      <c r="J67" s="847"/>
      <c r="K67" s="847"/>
      <c r="L67" s="847"/>
      <c r="M67" s="847"/>
      <c r="N67" s="891">
        <v>30</v>
      </c>
      <c r="O67" s="829"/>
      <c r="P67" s="892"/>
      <c r="R67" s="871"/>
      <c r="S67" s="871"/>
      <c r="T67" s="871"/>
      <c r="U67" s="871"/>
      <c r="V67" s="871"/>
      <c r="W67" s="871"/>
      <c r="X67" s="845">
        <v>2</v>
      </c>
      <c r="Y67" s="845"/>
      <c r="Z67" s="73">
        <v>12</v>
      </c>
      <c r="AA67" s="73">
        <v>12</v>
      </c>
      <c r="AB67" s="73">
        <v>12</v>
      </c>
      <c r="AC67" s="73">
        <v>12</v>
      </c>
      <c r="AD67" s="73">
        <v>12</v>
      </c>
      <c r="AE67" s="73">
        <v>12</v>
      </c>
      <c r="AF67" s="73">
        <v>12</v>
      </c>
      <c r="AG67" s="73">
        <v>12</v>
      </c>
      <c r="AH67" s="73">
        <v>12</v>
      </c>
      <c r="AI67" s="73">
        <v>12</v>
      </c>
    </row>
    <row r="68" spans="2:35" s="35" customFormat="1" x14ac:dyDescent="0.25">
      <c r="B68" s="23">
        <v>10</v>
      </c>
      <c r="C68" s="24">
        <v>5</v>
      </c>
      <c r="D68" s="24">
        <v>5</v>
      </c>
      <c r="E68" s="24">
        <v>8</v>
      </c>
      <c r="I68" s="894" t="s">
        <v>640</v>
      </c>
      <c r="J68" s="894"/>
      <c r="K68" s="894"/>
      <c r="L68" s="894"/>
      <c r="M68" s="894"/>
      <c r="N68" s="895">
        <v>10</v>
      </c>
      <c r="O68" s="896"/>
      <c r="P68" s="897"/>
      <c r="R68" s="871"/>
      <c r="S68" s="871"/>
      <c r="T68" s="871"/>
      <c r="U68" s="871"/>
      <c r="V68" s="871"/>
      <c r="W68" s="871"/>
      <c r="X68" s="845">
        <v>3</v>
      </c>
      <c r="Y68" s="845"/>
      <c r="Z68" s="73">
        <v>12</v>
      </c>
      <c r="AA68" s="73">
        <v>12</v>
      </c>
      <c r="AB68" s="73">
        <v>12</v>
      </c>
      <c r="AC68" s="73">
        <v>12</v>
      </c>
      <c r="AD68" s="73">
        <v>12</v>
      </c>
      <c r="AE68" s="73">
        <v>12</v>
      </c>
      <c r="AF68" s="73">
        <v>12</v>
      </c>
      <c r="AG68" s="73">
        <v>12</v>
      </c>
      <c r="AH68" s="73">
        <v>12</v>
      </c>
      <c r="AI68" s="73">
        <v>12</v>
      </c>
    </row>
    <row r="69" spans="2:35" s="35" customFormat="1" x14ac:dyDescent="0.25">
      <c r="B69" s="23">
        <v>15</v>
      </c>
      <c r="C69" s="24">
        <v>7</v>
      </c>
      <c r="D69" s="24">
        <v>8</v>
      </c>
      <c r="E69" s="24">
        <v>13</v>
      </c>
      <c r="I69" s="894"/>
      <c r="J69" s="894"/>
      <c r="K69" s="894"/>
      <c r="L69" s="894"/>
      <c r="M69" s="894"/>
      <c r="N69" s="898"/>
      <c r="O69" s="899"/>
      <c r="P69" s="900"/>
      <c r="R69" s="871" t="s">
        <v>7</v>
      </c>
      <c r="S69" s="871"/>
      <c r="T69" s="871"/>
      <c r="U69" s="871"/>
      <c r="V69" s="871"/>
      <c r="W69" s="871"/>
      <c r="X69" s="845">
        <v>1</v>
      </c>
      <c r="Y69" s="845"/>
      <c r="Z69" s="415" t="s">
        <v>119</v>
      </c>
      <c r="AA69" s="415" t="s">
        <v>119</v>
      </c>
      <c r="AB69" s="415" t="s">
        <v>119</v>
      </c>
      <c r="AC69" s="415" t="s">
        <v>119</v>
      </c>
      <c r="AD69" s="415" t="s">
        <v>119</v>
      </c>
      <c r="AE69" s="415" t="s">
        <v>119</v>
      </c>
      <c r="AF69" s="415" t="s">
        <v>119</v>
      </c>
      <c r="AG69" s="415" t="s">
        <v>119</v>
      </c>
      <c r="AH69" s="415" t="s">
        <v>119</v>
      </c>
      <c r="AI69" s="415" t="s">
        <v>119</v>
      </c>
    </row>
    <row r="70" spans="2:35" s="35" customFormat="1" x14ac:dyDescent="0.25">
      <c r="B70" s="23">
        <v>20</v>
      </c>
      <c r="C70" s="24">
        <v>9</v>
      </c>
      <c r="D70" s="24">
        <v>11</v>
      </c>
      <c r="E70" s="24">
        <v>17</v>
      </c>
      <c r="I70" s="904" t="s">
        <v>229</v>
      </c>
      <c r="J70" s="905"/>
      <c r="K70" s="905"/>
      <c r="L70" s="905"/>
      <c r="M70" s="905"/>
      <c r="N70" s="905"/>
      <c r="O70" s="905"/>
      <c r="P70" s="906"/>
      <c r="R70" s="871"/>
      <c r="S70" s="871"/>
      <c r="T70" s="871"/>
      <c r="U70" s="871"/>
      <c r="V70" s="871"/>
      <c r="W70" s="871"/>
      <c r="X70" s="845">
        <v>2</v>
      </c>
      <c r="Y70" s="845"/>
      <c r="Z70" s="415" t="s">
        <v>119</v>
      </c>
      <c r="AA70" s="415" t="s">
        <v>119</v>
      </c>
      <c r="AB70" s="415" t="s">
        <v>119</v>
      </c>
      <c r="AC70" s="415" t="s">
        <v>119</v>
      </c>
      <c r="AD70" s="415" t="s">
        <v>119</v>
      </c>
      <c r="AE70" s="415" t="s">
        <v>119</v>
      </c>
      <c r="AF70" s="415" t="s">
        <v>119</v>
      </c>
      <c r="AG70" s="415" t="s">
        <v>119</v>
      </c>
      <c r="AH70" s="415" t="s">
        <v>119</v>
      </c>
      <c r="AI70" s="415" t="s">
        <v>119</v>
      </c>
    </row>
    <row r="71" spans="2:35" s="35" customFormat="1" x14ac:dyDescent="0.25">
      <c r="B71" s="23">
        <v>25</v>
      </c>
      <c r="C71" s="24">
        <v>11</v>
      </c>
      <c r="D71" s="24">
        <v>13</v>
      </c>
      <c r="E71" s="24">
        <v>22</v>
      </c>
      <c r="I71" s="901" t="s">
        <v>937</v>
      </c>
      <c r="J71" s="902"/>
      <c r="K71" s="902"/>
      <c r="L71" s="902"/>
      <c r="M71" s="902"/>
      <c r="N71" s="902"/>
      <c r="O71" s="902"/>
      <c r="P71" s="903"/>
      <c r="R71" s="871"/>
      <c r="S71" s="871"/>
      <c r="T71" s="871"/>
      <c r="U71" s="871"/>
      <c r="V71" s="871"/>
      <c r="W71" s="871"/>
      <c r="X71" s="845">
        <v>3</v>
      </c>
      <c r="Y71" s="845"/>
      <c r="Z71" s="415" t="s">
        <v>119</v>
      </c>
      <c r="AA71" s="415" t="s">
        <v>119</v>
      </c>
      <c r="AB71" s="415" t="s">
        <v>119</v>
      </c>
      <c r="AC71" s="415" t="s">
        <v>119</v>
      </c>
      <c r="AD71" s="415" t="s">
        <v>119</v>
      </c>
      <c r="AE71" s="415" t="s">
        <v>119</v>
      </c>
      <c r="AF71" s="415" t="s">
        <v>119</v>
      </c>
      <c r="AG71" s="415" t="s">
        <v>119</v>
      </c>
      <c r="AH71" s="415" t="s">
        <v>119</v>
      </c>
      <c r="AI71" s="415" t="s">
        <v>119</v>
      </c>
    </row>
    <row r="72" spans="2:35" s="35" customFormat="1" x14ac:dyDescent="0.25">
      <c r="B72" s="23">
        <v>30</v>
      </c>
      <c r="C72" s="24">
        <v>12</v>
      </c>
      <c r="D72" s="24">
        <v>16</v>
      </c>
      <c r="E72" s="24">
        <v>27</v>
      </c>
      <c r="R72" s="871" t="s">
        <v>8</v>
      </c>
      <c r="S72" s="871"/>
      <c r="T72" s="871"/>
      <c r="U72" s="871"/>
      <c r="V72" s="871"/>
      <c r="W72" s="871"/>
      <c r="X72" s="845">
        <v>1</v>
      </c>
      <c r="Y72" s="845"/>
      <c r="Z72" s="73">
        <v>70</v>
      </c>
      <c r="AA72" s="74">
        <v>75</v>
      </c>
      <c r="AB72" s="73">
        <v>70</v>
      </c>
      <c r="AC72" s="74">
        <v>75</v>
      </c>
      <c r="AD72" s="73">
        <v>70</v>
      </c>
      <c r="AE72" s="74">
        <v>75</v>
      </c>
      <c r="AF72" s="74">
        <v>75</v>
      </c>
      <c r="AG72" s="74">
        <v>75</v>
      </c>
      <c r="AH72" s="74">
        <v>75</v>
      </c>
      <c r="AI72" s="74">
        <v>75</v>
      </c>
    </row>
    <row r="73" spans="2:35" s="35" customFormat="1" x14ac:dyDescent="0.25">
      <c r="B73" s="23">
        <v>35</v>
      </c>
      <c r="C73" s="24">
        <v>14</v>
      </c>
      <c r="D73" s="24">
        <v>18</v>
      </c>
      <c r="E73" s="24">
        <v>33</v>
      </c>
      <c r="R73" s="871"/>
      <c r="S73" s="871"/>
      <c r="T73" s="871"/>
      <c r="U73" s="871"/>
      <c r="V73" s="871"/>
      <c r="W73" s="871"/>
      <c r="X73" s="845">
        <v>2</v>
      </c>
      <c r="Y73" s="845"/>
      <c r="Z73" s="74" t="s">
        <v>270</v>
      </c>
      <c r="AA73" s="74" t="s">
        <v>270</v>
      </c>
      <c r="AB73" s="74" t="s">
        <v>270</v>
      </c>
      <c r="AC73" s="74" t="s">
        <v>270</v>
      </c>
      <c r="AD73" s="74" t="s">
        <v>270</v>
      </c>
      <c r="AE73" s="74" t="s">
        <v>270</v>
      </c>
      <c r="AF73" s="74" t="s">
        <v>270</v>
      </c>
      <c r="AG73" s="74" t="s">
        <v>270</v>
      </c>
      <c r="AH73" s="74" t="s">
        <v>270</v>
      </c>
      <c r="AI73" s="74" t="s">
        <v>270</v>
      </c>
    </row>
    <row r="74" spans="2:35" s="35" customFormat="1" x14ac:dyDescent="0.25">
      <c r="B74" s="23">
        <v>40</v>
      </c>
      <c r="C74" s="24">
        <v>16</v>
      </c>
      <c r="D74" s="24">
        <v>21</v>
      </c>
      <c r="E74" s="24">
        <v>40</v>
      </c>
      <c r="R74" s="871"/>
      <c r="S74" s="871"/>
      <c r="T74" s="871"/>
      <c r="U74" s="871"/>
      <c r="V74" s="871"/>
      <c r="W74" s="871"/>
      <c r="X74" s="845">
        <v>3</v>
      </c>
      <c r="Y74" s="845"/>
      <c r="Z74" s="74" t="s">
        <v>270</v>
      </c>
      <c r="AA74" s="74" t="s">
        <v>270</v>
      </c>
      <c r="AB74" s="74" t="s">
        <v>270</v>
      </c>
      <c r="AC74" s="74" t="s">
        <v>270</v>
      </c>
      <c r="AD74" s="74" t="s">
        <v>270</v>
      </c>
      <c r="AE74" s="74" t="s">
        <v>270</v>
      </c>
      <c r="AF74" s="74" t="s">
        <v>270</v>
      </c>
      <c r="AG74" s="74" t="s">
        <v>270</v>
      </c>
      <c r="AH74" s="74" t="s">
        <v>270</v>
      </c>
      <c r="AI74" s="74" t="s">
        <v>270</v>
      </c>
    </row>
    <row r="75" spans="2:35" s="35" customFormat="1" x14ac:dyDescent="0.25">
      <c r="B75" s="23">
        <v>45</v>
      </c>
      <c r="C75" s="24">
        <v>18</v>
      </c>
      <c r="D75" s="24">
        <v>24</v>
      </c>
      <c r="E75" s="24">
        <v>48</v>
      </c>
      <c r="R75" s="871" t="s">
        <v>14</v>
      </c>
      <c r="S75" s="871"/>
      <c r="T75" s="871"/>
      <c r="U75" s="871"/>
      <c r="V75" s="871"/>
      <c r="W75" s="871"/>
      <c r="X75" s="845">
        <v>1</v>
      </c>
      <c r="Y75" s="845"/>
      <c r="Z75" s="409">
        <v>0.55000000000000004</v>
      </c>
      <c r="AA75" s="546">
        <v>0.55000000000000004</v>
      </c>
      <c r="AB75" s="546">
        <v>0.55000000000000004</v>
      </c>
      <c r="AC75" s="546">
        <v>0.55000000000000004</v>
      </c>
      <c r="AD75" s="546">
        <v>0.55000000000000004</v>
      </c>
      <c r="AE75" s="546">
        <v>0.55000000000000004</v>
      </c>
      <c r="AF75" s="546">
        <v>0.55000000000000004</v>
      </c>
      <c r="AG75" s="546">
        <v>0.55000000000000004</v>
      </c>
      <c r="AH75" s="546">
        <v>0.55000000000000004</v>
      </c>
      <c r="AI75" s="546">
        <v>0.55000000000000004</v>
      </c>
    </row>
    <row r="76" spans="2:35" s="35" customFormat="1" x14ac:dyDescent="0.25">
      <c r="B76" s="23">
        <v>50</v>
      </c>
      <c r="C76" s="24">
        <v>19</v>
      </c>
      <c r="D76" s="24">
        <v>26</v>
      </c>
      <c r="E76" s="24">
        <v>59</v>
      </c>
      <c r="R76" s="871"/>
      <c r="S76" s="871"/>
      <c r="T76" s="871"/>
      <c r="U76" s="871"/>
      <c r="V76" s="871"/>
      <c r="W76" s="871"/>
      <c r="X76" s="845">
        <v>2</v>
      </c>
      <c r="Y76" s="845"/>
      <c r="Z76" s="546">
        <v>0.55000000000000004</v>
      </c>
      <c r="AA76" s="546">
        <v>0.55000000000000004</v>
      </c>
      <c r="AB76" s="546">
        <v>0.55000000000000004</v>
      </c>
      <c r="AC76" s="546">
        <v>0.55000000000000004</v>
      </c>
      <c r="AD76" s="546">
        <v>0.55000000000000004</v>
      </c>
      <c r="AE76" s="546">
        <v>0.55000000000000004</v>
      </c>
      <c r="AF76" s="546">
        <v>0.55000000000000004</v>
      </c>
      <c r="AG76" s="546">
        <v>0.55000000000000004</v>
      </c>
      <c r="AH76" s="546">
        <v>0.55000000000000004</v>
      </c>
      <c r="AI76" s="546">
        <v>0.55000000000000004</v>
      </c>
    </row>
    <row r="77" spans="2:35" s="35" customFormat="1" x14ac:dyDescent="0.25">
      <c r="B77" s="23">
        <v>55</v>
      </c>
      <c r="C77" s="24">
        <v>21</v>
      </c>
      <c r="D77" s="24">
        <v>29</v>
      </c>
      <c r="E77" s="24">
        <v>75</v>
      </c>
      <c r="R77" s="871"/>
      <c r="S77" s="871"/>
      <c r="T77" s="871"/>
      <c r="U77" s="871"/>
      <c r="V77" s="871"/>
      <c r="W77" s="871"/>
      <c r="X77" s="845">
        <v>3</v>
      </c>
      <c r="Y77" s="845"/>
      <c r="Z77" s="73">
        <v>0.6</v>
      </c>
      <c r="AA77" s="73">
        <v>0.6</v>
      </c>
      <c r="AB77" s="73">
        <v>0.6</v>
      </c>
      <c r="AC77" s="73">
        <v>0.6</v>
      </c>
      <c r="AD77" s="73">
        <v>0.6</v>
      </c>
      <c r="AE77" s="73">
        <v>0.6</v>
      </c>
      <c r="AF77" s="73">
        <v>0.6</v>
      </c>
      <c r="AG77" s="73">
        <v>0.6</v>
      </c>
      <c r="AH77" s="73">
        <v>0.6</v>
      </c>
      <c r="AI77" s="73">
        <v>0.6</v>
      </c>
    </row>
    <row r="78" spans="2:35" s="35" customFormat="1" x14ac:dyDescent="0.25">
      <c r="B78" s="23">
        <v>60</v>
      </c>
      <c r="C78" s="24">
        <v>23</v>
      </c>
      <c r="D78" s="24">
        <v>32</v>
      </c>
      <c r="E78" s="24">
        <v>101</v>
      </c>
      <c r="R78" s="871" t="s">
        <v>11</v>
      </c>
      <c r="S78" s="871"/>
      <c r="T78" s="871"/>
      <c r="U78" s="871"/>
      <c r="V78" s="871"/>
      <c r="W78" s="871"/>
      <c r="X78" s="845">
        <v>1</v>
      </c>
      <c r="Y78" s="845"/>
      <c r="Z78" s="409">
        <v>6</v>
      </c>
      <c r="AA78" s="409">
        <v>6</v>
      </c>
      <c r="AB78" s="409">
        <v>6</v>
      </c>
      <c r="AC78" s="409">
        <v>6</v>
      </c>
      <c r="AD78" s="409">
        <v>6</v>
      </c>
      <c r="AE78" s="409">
        <v>6</v>
      </c>
      <c r="AF78" s="409">
        <v>6</v>
      </c>
      <c r="AG78" s="409">
        <v>6</v>
      </c>
      <c r="AH78" s="409">
        <v>6</v>
      </c>
      <c r="AI78" s="409">
        <v>6</v>
      </c>
    </row>
    <row r="79" spans="2:35" s="35" customFormat="1" x14ac:dyDescent="0.25">
      <c r="B79" s="23">
        <v>65</v>
      </c>
      <c r="C79" s="24">
        <v>24</v>
      </c>
      <c r="D79" s="24">
        <v>34</v>
      </c>
      <c r="E79" s="24">
        <v>114</v>
      </c>
      <c r="R79" s="871"/>
      <c r="S79" s="871"/>
      <c r="T79" s="871"/>
      <c r="U79" s="871"/>
      <c r="V79" s="871"/>
      <c r="W79" s="871"/>
      <c r="X79" s="845">
        <v>2</v>
      </c>
      <c r="Y79" s="845"/>
      <c r="Z79" s="409">
        <v>6</v>
      </c>
      <c r="AA79" s="409">
        <v>6</v>
      </c>
      <c r="AB79" s="409">
        <v>6</v>
      </c>
      <c r="AC79" s="409">
        <v>6</v>
      </c>
      <c r="AD79" s="409">
        <v>6</v>
      </c>
      <c r="AE79" s="409">
        <v>6</v>
      </c>
      <c r="AF79" s="409">
        <v>6</v>
      </c>
      <c r="AG79" s="409">
        <v>6</v>
      </c>
      <c r="AH79" s="409">
        <v>6</v>
      </c>
      <c r="AI79" s="409">
        <v>6</v>
      </c>
    </row>
    <row r="80" spans="2:35" s="35" customFormat="1" x14ac:dyDescent="0.25">
      <c r="B80" s="23">
        <v>70</v>
      </c>
      <c r="C80" s="24">
        <v>26</v>
      </c>
      <c r="D80" s="24">
        <v>37</v>
      </c>
      <c r="E80" s="24">
        <v>142</v>
      </c>
      <c r="R80" s="871"/>
      <c r="S80" s="871"/>
      <c r="T80" s="871"/>
      <c r="U80" s="871"/>
      <c r="V80" s="871"/>
      <c r="W80" s="871"/>
      <c r="X80" s="845">
        <v>3</v>
      </c>
      <c r="Y80" s="845"/>
      <c r="Z80" s="73">
        <v>6</v>
      </c>
      <c r="AA80" s="73">
        <v>6</v>
      </c>
      <c r="AB80" s="73">
        <v>6</v>
      </c>
      <c r="AC80" s="73">
        <v>6</v>
      </c>
      <c r="AD80" s="73">
        <v>6</v>
      </c>
      <c r="AE80" s="73">
        <v>6</v>
      </c>
      <c r="AF80" s="73">
        <v>6</v>
      </c>
      <c r="AG80" s="73">
        <v>6</v>
      </c>
      <c r="AH80" s="73">
        <v>6</v>
      </c>
      <c r="AI80" s="73">
        <v>6</v>
      </c>
    </row>
    <row r="81" spans="1:39" s="35" customFormat="1" x14ac:dyDescent="0.25">
      <c r="B81" s="23">
        <v>75</v>
      </c>
      <c r="C81" s="24">
        <v>28</v>
      </c>
      <c r="D81" s="24">
        <v>40</v>
      </c>
      <c r="E81" s="24">
        <v>172</v>
      </c>
      <c r="R81" s="871" t="s">
        <v>466</v>
      </c>
      <c r="S81" s="871"/>
      <c r="T81" s="871"/>
      <c r="U81" s="871"/>
      <c r="V81" s="871"/>
      <c r="W81" s="871"/>
      <c r="X81" s="845">
        <v>1</v>
      </c>
      <c r="Y81" s="845"/>
      <c r="Z81" s="73" t="s">
        <v>270</v>
      </c>
      <c r="AA81" s="74" t="s">
        <v>270</v>
      </c>
      <c r="AB81" s="74" t="s">
        <v>270</v>
      </c>
      <c r="AC81" s="74" t="s">
        <v>270</v>
      </c>
      <c r="AD81" s="74" t="s">
        <v>270</v>
      </c>
      <c r="AE81" s="74" t="s">
        <v>270</v>
      </c>
      <c r="AF81" s="74" t="s">
        <v>270</v>
      </c>
      <c r="AG81" s="74" t="s">
        <v>270</v>
      </c>
      <c r="AH81" s="74" t="s">
        <v>270</v>
      </c>
      <c r="AI81" s="74" t="s">
        <v>270</v>
      </c>
    </row>
    <row r="82" spans="1:39" s="35" customFormat="1" x14ac:dyDescent="0.25">
      <c r="B82" s="23">
        <v>80</v>
      </c>
      <c r="C82" s="24">
        <v>29</v>
      </c>
      <c r="D82" s="24">
        <v>42</v>
      </c>
      <c r="E82" s="24">
        <v>208</v>
      </c>
      <c r="R82" s="871"/>
      <c r="S82" s="871"/>
      <c r="T82" s="871"/>
      <c r="U82" s="871"/>
      <c r="V82" s="871"/>
      <c r="W82" s="871"/>
      <c r="X82" s="845">
        <v>2</v>
      </c>
      <c r="Y82" s="845"/>
      <c r="Z82" s="416">
        <v>6</v>
      </c>
      <c r="AA82" s="416">
        <v>6</v>
      </c>
      <c r="AB82" s="416">
        <v>6</v>
      </c>
      <c r="AC82" s="416">
        <v>6</v>
      </c>
      <c r="AD82" s="416">
        <v>6</v>
      </c>
      <c r="AE82" s="416">
        <v>6</v>
      </c>
      <c r="AF82" s="416">
        <v>6</v>
      </c>
      <c r="AG82" s="416">
        <v>6</v>
      </c>
      <c r="AH82" s="416">
        <v>6</v>
      </c>
      <c r="AI82" s="416">
        <v>6</v>
      </c>
    </row>
    <row r="83" spans="1:39" s="35" customFormat="1" x14ac:dyDescent="0.25">
      <c r="B83" s="933" t="s">
        <v>233</v>
      </c>
      <c r="C83" s="933"/>
      <c r="D83" s="933"/>
      <c r="E83" s="933"/>
      <c r="R83" s="871"/>
      <c r="S83" s="871"/>
      <c r="T83" s="871"/>
      <c r="U83" s="871"/>
      <c r="V83" s="871"/>
      <c r="W83" s="871"/>
      <c r="X83" s="845">
        <v>3</v>
      </c>
      <c r="Y83" s="845"/>
      <c r="Z83" s="73" t="s">
        <v>270</v>
      </c>
      <c r="AA83" s="74" t="s">
        <v>270</v>
      </c>
      <c r="AB83" s="74" t="s">
        <v>270</v>
      </c>
      <c r="AC83" s="74" t="s">
        <v>270</v>
      </c>
      <c r="AD83" s="74" t="s">
        <v>270</v>
      </c>
      <c r="AE83" s="74" t="s">
        <v>270</v>
      </c>
      <c r="AF83" s="74" t="s">
        <v>270</v>
      </c>
      <c r="AG83" s="74" t="s">
        <v>270</v>
      </c>
      <c r="AH83" s="74" t="s">
        <v>270</v>
      </c>
      <c r="AI83" s="74" t="s">
        <v>270</v>
      </c>
    </row>
    <row r="84" spans="1:39" s="35" customFormat="1" x14ac:dyDescent="0.25">
      <c r="B84" s="933"/>
      <c r="C84" s="933"/>
      <c r="D84" s="933"/>
      <c r="E84" s="933"/>
      <c r="R84" s="871" t="s">
        <v>468</v>
      </c>
      <c r="S84" s="871"/>
      <c r="T84" s="871"/>
      <c r="U84" s="871"/>
      <c r="V84" s="871"/>
      <c r="W84" s="871"/>
      <c r="X84" s="845">
        <v>1</v>
      </c>
      <c r="Y84" s="845"/>
      <c r="Z84" s="73">
        <v>5</v>
      </c>
      <c r="AA84" s="73">
        <v>12</v>
      </c>
      <c r="AB84" s="73">
        <v>5</v>
      </c>
      <c r="AC84" s="73">
        <v>12</v>
      </c>
      <c r="AD84" s="73">
        <v>5</v>
      </c>
      <c r="AE84" s="73">
        <v>12</v>
      </c>
      <c r="AF84" s="73">
        <v>12</v>
      </c>
      <c r="AG84" s="73">
        <v>12</v>
      </c>
      <c r="AH84" s="73">
        <v>12</v>
      </c>
      <c r="AI84" s="73">
        <v>12</v>
      </c>
    </row>
    <row r="85" spans="1:39" s="35" customFormat="1" x14ac:dyDescent="0.25">
      <c r="R85" s="871"/>
      <c r="S85" s="871"/>
      <c r="T85" s="871"/>
      <c r="U85" s="871"/>
      <c r="V85" s="871"/>
      <c r="W85" s="871"/>
      <c r="X85" s="845">
        <v>2</v>
      </c>
      <c r="Y85" s="845"/>
      <c r="Z85" s="73">
        <v>5</v>
      </c>
      <c r="AA85" s="73">
        <v>10</v>
      </c>
      <c r="AB85" s="73">
        <v>5</v>
      </c>
      <c r="AC85" s="73">
        <v>10</v>
      </c>
      <c r="AD85" s="73">
        <v>5</v>
      </c>
      <c r="AE85" s="73">
        <v>10</v>
      </c>
      <c r="AF85" s="73">
        <v>10</v>
      </c>
      <c r="AG85" s="73">
        <v>10</v>
      </c>
      <c r="AH85" s="73">
        <v>10</v>
      </c>
      <c r="AI85" s="73">
        <v>10</v>
      </c>
    </row>
    <row r="86" spans="1:39" s="35" customFormat="1" x14ac:dyDescent="0.25">
      <c r="R86" s="871"/>
      <c r="S86" s="871"/>
      <c r="T86" s="871"/>
      <c r="U86" s="871"/>
      <c r="V86" s="871"/>
      <c r="W86" s="871"/>
      <c r="X86" s="845">
        <v>3</v>
      </c>
      <c r="Y86" s="845"/>
      <c r="Z86" s="73">
        <v>6</v>
      </c>
      <c r="AA86" s="73">
        <v>6</v>
      </c>
      <c r="AB86" s="73">
        <v>6</v>
      </c>
      <c r="AC86" s="73">
        <v>6</v>
      </c>
      <c r="AD86" s="73">
        <v>6</v>
      </c>
      <c r="AE86" s="73">
        <v>6</v>
      </c>
      <c r="AF86" s="73">
        <v>6</v>
      </c>
      <c r="AG86" s="73">
        <v>6</v>
      </c>
      <c r="AH86" s="73">
        <v>6</v>
      </c>
      <c r="AI86" s="73">
        <v>6</v>
      </c>
    </row>
    <row r="87" spans="1:39" s="35" customFormat="1" x14ac:dyDescent="0.25">
      <c r="R87" s="871" t="s">
        <v>467</v>
      </c>
      <c r="S87" s="871"/>
      <c r="T87" s="871"/>
      <c r="U87" s="871"/>
      <c r="V87" s="871"/>
      <c r="W87" s="871"/>
      <c r="X87" s="845">
        <v>1</v>
      </c>
      <c r="Y87" s="845"/>
      <c r="Z87" s="73">
        <v>1</v>
      </c>
      <c r="AA87" s="73">
        <v>1</v>
      </c>
      <c r="AB87" s="73">
        <v>1</v>
      </c>
      <c r="AC87" s="73">
        <v>1</v>
      </c>
      <c r="AD87" s="73">
        <v>1</v>
      </c>
      <c r="AE87" s="73">
        <v>1</v>
      </c>
      <c r="AF87" s="73">
        <v>1</v>
      </c>
      <c r="AG87" s="73">
        <v>1</v>
      </c>
      <c r="AH87" s="73">
        <v>1</v>
      </c>
      <c r="AI87" s="73">
        <v>1</v>
      </c>
    </row>
    <row r="88" spans="1:39" s="35" customFormat="1" x14ac:dyDescent="0.25">
      <c r="R88" s="871"/>
      <c r="S88" s="871"/>
      <c r="T88" s="871"/>
      <c r="U88" s="871"/>
      <c r="V88" s="871"/>
      <c r="W88" s="871"/>
      <c r="X88" s="845">
        <v>2</v>
      </c>
      <c r="Y88" s="845"/>
      <c r="Z88" s="73">
        <v>1</v>
      </c>
      <c r="AA88" s="73">
        <v>1</v>
      </c>
      <c r="AB88" s="73">
        <v>1</v>
      </c>
      <c r="AC88" s="73">
        <v>1</v>
      </c>
      <c r="AD88" s="73">
        <v>1</v>
      </c>
      <c r="AE88" s="73">
        <v>1</v>
      </c>
      <c r="AF88" s="73">
        <v>1</v>
      </c>
      <c r="AG88" s="73">
        <v>1</v>
      </c>
      <c r="AH88" s="73">
        <v>1</v>
      </c>
      <c r="AI88" s="73">
        <v>1</v>
      </c>
    </row>
    <row r="89" spans="1:39" x14ac:dyDescent="0.25">
      <c r="A89" s="35"/>
      <c r="B89" s="35"/>
      <c r="C89" s="35"/>
      <c r="D89" s="35"/>
      <c r="E89" s="35"/>
      <c r="F89" s="35"/>
      <c r="G89" s="35"/>
      <c r="H89" s="35"/>
      <c r="P89" s="10"/>
      <c r="R89" s="871"/>
      <c r="S89" s="871"/>
      <c r="T89" s="871"/>
      <c r="U89" s="871"/>
      <c r="V89" s="871"/>
      <c r="W89" s="871"/>
      <c r="X89" s="845">
        <v>3</v>
      </c>
      <c r="Y89" s="845"/>
      <c r="Z89" s="74" t="s">
        <v>270</v>
      </c>
      <c r="AA89" s="74" t="s">
        <v>270</v>
      </c>
      <c r="AB89" s="74" t="s">
        <v>270</v>
      </c>
      <c r="AC89" s="74" t="s">
        <v>270</v>
      </c>
      <c r="AD89" s="74" t="s">
        <v>270</v>
      </c>
      <c r="AE89" s="74" t="s">
        <v>270</v>
      </c>
      <c r="AF89" s="74" t="s">
        <v>270</v>
      </c>
      <c r="AG89" s="74" t="s">
        <v>270</v>
      </c>
      <c r="AH89" s="74" t="s">
        <v>270</v>
      </c>
      <c r="AI89" s="74" t="s">
        <v>270</v>
      </c>
    </row>
    <row r="90" spans="1:39" x14ac:dyDescent="0.25">
      <c r="A90" s="35"/>
      <c r="B90" s="35"/>
      <c r="C90" s="35"/>
      <c r="D90" s="35"/>
      <c r="E90" s="35"/>
      <c r="F90" s="35"/>
      <c r="G90" s="35"/>
      <c r="H90" s="35"/>
      <c r="P90" s="10"/>
      <c r="R90" s="871" t="s">
        <v>457</v>
      </c>
      <c r="S90" s="871"/>
      <c r="T90" s="871"/>
      <c r="U90" s="871"/>
      <c r="V90" s="871"/>
      <c r="W90" s="871"/>
      <c r="X90" s="845">
        <v>1</v>
      </c>
      <c r="Y90" s="845"/>
      <c r="Z90" s="74" t="s">
        <v>270</v>
      </c>
      <c r="AA90" s="74" t="s">
        <v>270</v>
      </c>
      <c r="AB90" s="74" t="s">
        <v>270</v>
      </c>
      <c r="AC90" s="74" t="s">
        <v>270</v>
      </c>
      <c r="AD90" s="74" t="s">
        <v>270</v>
      </c>
      <c r="AE90" s="74" t="s">
        <v>270</v>
      </c>
      <c r="AF90" s="74" t="s">
        <v>270</v>
      </c>
      <c r="AG90" s="74" t="s">
        <v>270</v>
      </c>
      <c r="AH90" s="74" t="s">
        <v>270</v>
      </c>
      <c r="AI90" s="74" t="s">
        <v>270</v>
      </c>
    </row>
    <row r="91" spans="1:39" x14ac:dyDescent="0.25">
      <c r="A91" s="35"/>
      <c r="B91" s="35"/>
      <c r="C91" s="35"/>
      <c r="D91" s="35"/>
      <c r="E91" s="35"/>
      <c r="F91" s="35"/>
      <c r="G91" s="35"/>
      <c r="H91" s="35"/>
      <c r="P91" s="10"/>
      <c r="R91" s="871"/>
      <c r="S91" s="871"/>
      <c r="T91" s="871"/>
      <c r="U91" s="871"/>
      <c r="V91" s="871"/>
      <c r="W91" s="871"/>
      <c r="X91" s="845">
        <v>2</v>
      </c>
      <c r="Y91" s="845"/>
      <c r="Z91" s="409">
        <v>20</v>
      </c>
      <c r="AA91" s="73">
        <v>8</v>
      </c>
      <c r="AB91" s="409">
        <v>20</v>
      </c>
      <c r="AC91" s="73">
        <v>8</v>
      </c>
      <c r="AD91" s="409">
        <v>20</v>
      </c>
      <c r="AE91" s="73">
        <v>8</v>
      </c>
      <c r="AF91" s="73">
        <v>8</v>
      </c>
      <c r="AG91" s="73">
        <v>8</v>
      </c>
      <c r="AH91" s="73">
        <v>8</v>
      </c>
      <c r="AI91" s="73">
        <v>8</v>
      </c>
    </row>
    <row r="92" spans="1:39" x14ac:dyDescent="0.25">
      <c r="A92" s="35"/>
      <c r="B92" s="35"/>
      <c r="C92" s="35"/>
      <c r="D92" s="35"/>
      <c r="E92" s="35"/>
      <c r="F92" s="35"/>
      <c r="G92" s="35"/>
      <c r="H92" s="35"/>
      <c r="P92" s="10"/>
      <c r="R92" s="871"/>
      <c r="S92" s="871"/>
      <c r="T92" s="871"/>
      <c r="U92" s="871"/>
      <c r="V92" s="871"/>
      <c r="W92" s="871"/>
      <c r="X92" s="845">
        <v>3</v>
      </c>
      <c r="Y92" s="845"/>
      <c r="Z92" s="409">
        <v>12</v>
      </c>
      <c r="AA92" s="409">
        <v>12</v>
      </c>
      <c r="AB92" s="409">
        <v>12</v>
      </c>
      <c r="AC92" s="409">
        <v>12</v>
      </c>
      <c r="AD92" s="409">
        <v>12</v>
      </c>
      <c r="AE92" s="409">
        <v>12</v>
      </c>
      <c r="AF92" s="409">
        <v>12</v>
      </c>
      <c r="AG92" s="409">
        <v>12</v>
      </c>
      <c r="AH92" s="409">
        <v>12</v>
      </c>
      <c r="AI92" s="409">
        <v>12</v>
      </c>
    </row>
    <row r="93" spans="1:39" x14ac:dyDescent="0.25">
      <c r="A93" s="35"/>
      <c r="B93" s="35"/>
      <c r="C93" s="35"/>
      <c r="D93" s="35"/>
      <c r="E93" s="35"/>
      <c r="F93" s="35"/>
      <c r="G93" s="35"/>
      <c r="H93" s="35"/>
      <c r="P93" s="10"/>
      <c r="R93" s="907" t="s">
        <v>469</v>
      </c>
      <c r="S93" s="908"/>
      <c r="T93" s="908"/>
      <c r="U93" s="908"/>
      <c r="V93" s="908"/>
      <c r="W93" s="908"/>
      <c r="X93" s="908"/>
      <c r="Y93" s="908"/>
      <c r="Z93" s="908"/>
      <c r="AA93" s="908"/>
      <c r="AB93" s="908"/>
      <c r="AC93" s="908"/>
      <c r="AD93" s="908"/>
      <c r="AE93" s="908"/>
      <c r="AF93" s="908"/>
      <c r="AG93" s="908"/>
      <c r="AH93" s="908"/>
      <c r="AI93" s="909"/>
    </row>
    <row r="94" spans="1:39" x14ac:dyDescent="0.25">
      <c r="A94" s="35"/>
      <c r="B94" s="35"/>
      <c r="C94" s="35"/>
      <c r="D94" s="35"/>
      <c r="E94" s="35"/>
      <c r="F94" s="35"/>
      <c r="G94" s="35"/>
      <c r="H94" s="35"/>
      <c r="P94" s="10"/>
      <c r="R94" s="1014" t="s">
        <v>936</v>
      </c>
      <c r="S94" s="1015"/>
      <c r="T94" s="1015"/>
      <c r="U94" s="1015"/>
      <c r="V94" s="1015"/>
      <c r="W94" s="1015"/>
      <c r="X94" s="1015"/>
      <c r="Y94" s="1015"/>
      <c r="Z94" s="1015"/>
      <c r="AA94" s="1015"/>
      <c r="AB94" s="1015"/>
      <c r="AC94" s="1015"/>
      <c r="AD94" s="1015"/>
      <c r="AE94" s="1015"/>
      <c r="AF94" s="1015"/>
      <c r="AG94" s="1015"/>
      <c r="AH94" s="1015"/>
      <c r="AI94" s="1016"/>
    </row>
    <row r="95" spans="1:39" x14ac:dyDescent="0.25">
      <c r="A95" s="35"/>
      <c r="B95" s="35"/>
      <c r="C95" s="35"/>
      <c r="D95" s="35"/>
      <c r="E95" s="35"/>
      <c r="F95" s="35"/>
      <c r="G95" s="35"/>
      <c r="H95" s="35"/>
      <c r="P95" s="10"/>
      <c r="U95"/>
      <c r="Z95" s="10"/>
      <c r="AA95" s="35"/>
      <c r="AB95" s="35"/>
      <c r="AC95" s="35"/>
      <c r="AD95" s="35"/>
      <c r="AE95" s="35"/>
      <c r="AF95" s="35"/>
      <c r="AG95" s="35"/>
      <c r="AH95" s="35"/>
      <c r="AI95" s="35"/>
    </row>
    <row r="96" spans="1:39" x14ac:dyDescent="0.25">
      <c r="B96" s="889" t="s">
        <v>487</v>
      </c>
      <c r="C96" s="890"/>
      <c r="D96" s="890"/>
      <c r="E96" s="890"/>
      <c r="F96" s="890"/>
      <c r="G96" s="890"/>
      <c r="H96" s="890"/>
      <c r="I96" s="890"/>
      <c r="J96" s="890"/>
      <c r="K96" s="890"/>
      <c r="L96" s="890"/>
      <c r="M96" s="893"/>
      <c r="P96" s="889" t="s">
        <v>488</v>
      </c>
      <c r="Q96" s="890"/>
      <c r="R96" s="890"/>
      <c r="S96" s="890"/>
      <c r="T96" s="890"/>
      <c r="U96" s="890"/>
      <c r="V96" s="890"/>
      <c r="W96" s="890"/>
      <c r="X96" s="890"/>
      <c r="Y96" s="890"/>
      <c r="Z96" s="890"/>
      <c r="AA96" s="890"/>
      <c r="AB96" s="890"/>
      <c r="AC96" s="890"/>
      <c r="AD96" s="890"/>
      <c r="AE96" s="890"/>
      <c r="AF96" s="890"/>
      <c r="AG96" s="890"/>
      <c r="AH96" s="890"/>
      <c r="AI96" s="890"/>
      <c r="AJ96" s="890"/>
      <c r="AK96" s="890"/>
      <c r="AL96" s="890"/>
      <c r="AM96" s="893"/>
    </row>
    <row r="97" spans="2:39" x14ac:dyDescent="0.25">
      <c r="B97" s="845" t="s">
        <v>178</v>
      </c>
      <c r="C97" s="845"/>
      <c r="D97" s="696" t="s">
        <v>179</v>
      </c>
      <c r="E97" s="677"/>
      <c r="F97" s="677"/>
      <c r="G97" s="677"/>
      <c r="H97" s="677"/>
      <c r="I97" s="677"/>
      <c r="J97" s="677"/>
      <c r="K97" s="677"/>
      <c r="L97" s="677"/>
      <c r="M97" s="678"/>
      <c r="P97" s="875" t="s">
        <v>222</v>
      </c>
      <c r="Q97" s="696" t="s">
        <v>209</v>
      </c>
      <c r="R97" s="677"/>
      <c r="S97" s="678"/>
      <c r="T97" s="935" t="s">
        <v>179</v>
      </c>
      <c r="U97" s="936"/>
      <c r="V97" s="936"/>
      <c r="W97" s="936"/>
      <c r="X97" s="936"/>
      <c r="Y97" s="936"/>
      <c r="Z97" s="936"/>
      <c r="AA97" s="936"/>
      <c r="AB97" s="936"/>
      <c r="AC97" s="936"/>
      <c r="AD97" s="936"/>
      <c r="AE97" s="936"/>
      <c r="AF97" s="936"/>
      <c r="AG97" s="936"/>
      <c r="AH97" s="936"/>
      <c r="AI97" s="936"/>
      <c r="AJ97" s="936"/>
      <c r="AK97" s="936"/>
      <c r="AL97" s="936"/>
      <c r="AM97" s="937"/>
    </row>
    <row r="98" spans="2:39" x14ac:dyDescent="0.25">
      <c r="B98" s="845"/>
      <c r="C98" s="845"/>
      <c r="D98" s="14">
        <v>1</v>
      </c>
      <c r="E98" s="14">
        <v>2</v>
      </c>
      <c r="F98" s="14">
        <v>3</v>
      </c>
      <c r="G98" s="14">
        <v>4</v>
      </c>
      <c r="H98" s="14">
        <v>5</v>
      </c>
      <c r="I98" s="14">
        <v>6</v>
      </c>
      <c r="J98" s="14">
        <v>7</v>
      </c>
      <c r="K98" s="14">
        <v>8</v>
      </c>
      <c r="L98" s="14">
        <v>9</v>
      </c>
      <c r="M98" s="14">
        <v>10</v>
      </c>
      <c r="P98" s="777"/>
      <c r="Q98" s="679"/>
      <c r="R98" s="680"/>
      <c r="S98" s="681"/>
      <c r="T98" s="679">
        <v>1</v>
      </c>
      <c r="U98" s="681"/>
      <c r="V98" s="679">
        <v>2</v>
      </c>
      <c r="W98" s="681"/>
      <c r="X98" s="679">
        <v>3</v>
      </c>
      <c r="Y98" s="681"/>
      <c r="Z98" s="679">
        <v>4</v>
      </c>
      <c r="AA98" s="681"/>
      <c r="AB98" s="679">
        <v>5</v>
      </c>
      <c r="AC98" s="681"/>
      <c r="AD98" s="679">
        <v>6</v>
      </c>
      <c r="AE98" s="681"/>
      <c r="AF98" s="679">
        <v>7</v>
      </c>
      <c r="AG98" s="681"/>
      <c r="AH98" s="679">
        <v>8</v>
      </c>
      <c r="AI98" s="681"/>
      <c r="AJ98" s="679">
        <v>9</v>
      </c>
      <c r="AK98" s="681"/>
      <c r="AL98" s="679">
        <v>10</v>
      </c>
      <c r="AM98" s="681"/>
    </row>
    <row r="99" spans="2:39" x14ac:dyDescent="0.25">
      <c r="B99" s="888">
        <v>0</v>
      </c>
      <c r="C99" s="888"/>
      <c r="D99" s="20">
        <f>Updater!D20</f>
        <v>1.02</v>
      </c>
      <c r="E99" s="303">
        <f>Updater!E20</f>
        <v>1.42</v>
      </c>
      <c r="F99" s="303">
        <f>Updater!F20</f>
        <v>0.71</v>
      </c>
      <c r="G99" s="303">
        <f>Updater!G20</f>
        <v>0.71</v>
      </c>
      <c r="H99" s="303">
        <f>Updater!H20</f>
        <v>0.62</v>
      </c>
      <c r="I99" s="303">
        <f>Updater!I20</f>
        <v>0.62</v>
      </c>
      <c r="J99" s="303">
        <f>Updater!J20</f>
        <v>0.65</v>
      </c>
      <c r="K99" s="303">
        <f>Updater!K20</f>
        <v>0.67</v>
      </c>
      <c r="L99" s="303">
        <f>Updater!L20</f>
        <v>0.64</v>
      </c>
      <c r="M99" s="303">
        <f>Updater!M20</f>
        <v>0.56000000000000005</v>
      </c>
      <c r="P99" s="15">
        <v>0</v>
      </c>
      <c r="Q99" s="1021" t="s">
        <v>506</v>
      </c>
      <c r="R99" s="1022"/>
      <c r="S99" s="1023"/>
      <c r="T99" s="849">
        <v>1</v>
      </c>
      <c r="U99" s="850"/>
      <c r="V99" s="849">
        <v>1</v>
      </c>
      <c r="W99" s="850"/>
      <c r="X99" s="849">
        <v>1</v>
      </c>
      <c r="Y99" s="850"/>
      <c r="Z99" s="849">
        <v>1</v>
      </c>
      <c r="AA99" s="850"/>
      <c r="AB99" s="849">
        <v>1</v>
      </c>
      <c r="AC99" s="850"/>
      <c r="AD99" s="849">
        <v>1</v>
      </c>
      <c r="AE99" s="850"/>
      <c r="AF99" s="849">
        <v>1</v>
      </c>
      <c r="AG99" s="850"/>
      <c r="AH99" s="849">
        <v>1</v>
      </c>
      <c r="AI99" s="850"/>
      <c r="AJ99" s="849">
        <v>1</v>
      </c>
      <c r="AK99" s="850"/>
      <c r="AL99" s="849">
        <v>1</v>
      </c>
      <c r="AM99" s="850"/>
    </row>
    <row r="100" spans="2:39" x14ac:dyDescent="0.25">
      <c r="B100" s="888">
        <f>B99+TIME(1,0,0)</f>
        <v>4.1666666666666664E-2</v>
      </c>
      <c r="C100" s="888"/>
      <c r="D100" s="303">
        <f>Updater!D21</f>
        <v>0.75</v>
      </c>
      <c r="E100" s="303">
        <f>Updater!E21</f>
        <v>1.1499999999999999</v>
      </c>
      <c r="F100" s="303">
        <f>Updater!F21</f>
        <v>0.44</v>
      </c>
      <c r="G100" s="303">
        <f>Updater!G21</f>
        <v>0.49</v>
      </c>
      <c r="H100" s="303">
        <f>Updater!H21</f>
        <v>0.37</v>
      </c>
      <c r="I100" s="303">
        <f>Updater!I21</f>
        <v>0.39</v>
      </c>
      <c r="J100" s="303">
        <f>Updater!J21</f>
        <v>0.42</v>
      </c>
      <c r="K100" s="303">
        <f>Updater!K21</f>
        <v>0.43</v>
      </c>
      <c r="L100" s="303">
        <f>Updater!L21</f>
        <v>0.41</v>
      </c>
      <c r="M100" s="303">
        <f>Updater!M21</f>
        <v>0.34</v>
      </c>
      <c r="P100" s="75">
        <v>1</v>
      </c>
      <c r="Q100" s="1021" t="s">
        <v>210</v>
      </c>
      <c r="R100" s="1022"/>
      <c r="S100" s="1023"/>
      <c r="T100" s="849">
        <f>Updater!F51</f>
        <v>1.085</v>
      </c>
      <c r="U100" s="850"/>
      <c r="V100" s="849">
        <f>Updater!H51</f>
        <v>1.403</v>
      </c>
      <c r="W100" s="850"/>
      <c r="X100" s="849">
        <f>Updater!J51</f>
        <v>1.091</v>
      </c>
      <c r="Y100" s="850"/>
      <c r="Z100" s="849">
        <f>Updater!L51</f>
        <v>1.169</v>
      </c>
      <c r="AA100" s="850"/>
      <c r="AB100" s="849">
        <f>Updater!N51</f>
        <v>1.08</v>
      </c>
      <c r="AC100" s="850"/>
      <c r="AD100" s="849">
        <f>Updater!P51</f>
        <v>1.2310000000000001</v>
      </c>
      <c r="AE100" s="850"/>
      <c r="AF100" s="849">
        <f>Updater!R51</f>
        <v>1.1419999999999999</v>
      </c>
      <c r="AG100" s="850"/>
      <c r="AH100" s="849">
        <f>Updater!T51</f>
        <v>1.254</v>
      </c>
      <c r="AI100" s="850"/>
      <c r="AJ100" s="849">
        <f>Updater!V51</f>
        <v>1.1519999999999999</v>
      </c>
      <c r="AK100" s="850"/>
      <c r="AL100" s="849">
        <f>Updater!X51</f>
        <v>1.5620000000000001</v>
      </c>
      <c r="AM100" s="850"/>
    </row>
    <row r="101" spans="2:39" x14ac:dyDescent="0.25">
      <c r="B101" s="888">
        <f t="shared" ref="B101:B122" si="0">B100+TIME(1,0,0)</f>
        <v>8.3333333333333329E-2</v>
      </c>
      <c r="C101" s="888"/>
      <c r="D101" s="303">
        <f>Updater!D22</f>
        <v>0.69</v>
      </c>
      <c r="E101" s="303">
        <f>Updater!E22</f>
        <v>1.07</v>
      </c>
      <c r="F101" s="303">
        <f>Updater!F22</f>
        <v>0.37</v>
      </c>
      <c r="G101" s="303">
        <f>Updater!G22</f>
        <v>0.46</v>
      </c>
      <c r="H101" s="303">
        <f>Updater!H22</f>
        <v>0.32</v>
      </c>
      <c r="I101" s="303">
        <f>Updater!I22</f>
        <v>0.36</v>
      </c>
      <c r="J101" s="303">
        <f>Updater!J22</f>
        <v>0.39</v>
      </c>
      <c r="K101" s="303">
        <f>Updater!K22</f>
        <v>0.38</v>
      </c>
      <c r="L101" s="303">
        <f>Updater!L22</f>
        <v>0.36</v>
      </c>
      <c r="M101" s="303">
        <f>Updater!M22</f>
        <v>0.32</v>
      </c>
      <c r="P101" s="75">
        <v>2</v>
      </c>
      <c r="Q101" s="1021" t="s">
        <v>211</v>
      </c>
      <c r="R101" s="1022"/>
      <c r="S101" s="1023"/>
      <c r="T101" s="849">
        <f>Updater!F52</f>
        <v>1.046</v>
      </c>
      <c r="U101" s="850"/>
      <c r="V101" s="849">
        <f>Updater!H52</f>
        <v>1.127</v>
      </c>
      <c r="W101" s="850"/>
      <c r="X101" s="849">
        <f>Updater!J52</f>
        <v>1.056</v>
      </c>
      <c r="Y101" s="850"/>
      <c r="Z101" s="849">
        <f>Updater!L52</f>
        <v>1.103</v>
      </c>
      <c r="AA101" s="850"/>
      <c r="AB101" s="849">
        <f>Updater!N52</f>
        <v>1.075</v>
      </c>
      <c r="AC101" s="850"/>
      <c r="AD101" s="849">
        <f>Updater!P52</f>
        <v>1.169</v>
      </c>
      <c r="AE101" s="850"/>
      <c r="AF101" s="849">
        <f>Updater!R52</f>
        <v>1.1200000000000001</v>
      </c>
      <c r="AG101" s="850"/>
      <c r="AH101" s="849">
        <f>Updater!T52</f>
        <v>1.181</v>
      </c>
      <c r="AI101" s="850"/>
      <c r="AJ101" s="849">
        <f>Updater!V52</f>
        <v>1.113</v>
      </c>
      <c r="AK101" s="850"/>
      <c r="AL101" s="849">
        <f>Updater!X52</f>
        <v>1.478</v>
      </c>
      <c r="AM101" s="850"/>
    </row>
    <row r="102" spans="2:39" ht="15" customHeight="1" x14ac:dyDescent="0.25">
      <c r="B102" s="888">
        <f t="shared" si="0"/>
        <v>0.125</v>
      </c>
      <c r="C102" s="888"/>
      <c r="D102" s="303">
        <f>Updater!D23</f>
        <v>0.79</v>
      </c>
      <c r="E102" s="303">
        <f>Updater!E23</f>
        <v>1.1599999999999999</v>
      </c>
      <c r="F102" s="303">
        <f>Updater!F23</f>
        <v>0.44</v>
      </c>
      <c r="G102" s="303">
        <f>Updater!G23</f>
        <v>0.59</v>
      </c>
      <c r="H102" s="303">
        <f>Updater!H23</f>
        <v>0.37</v>
      </c>
      <c r="I102" s="303">
        <f>Updater!I23</f>
        <v>0.45</v>
      </c>
      <c r="J102" s="303">
        <f>Updater!J23</f>
        <v>0.5</v>
      </c>
      <c r="K102" s="303">
        <f>Updater!K23</f>
        <v>0.44</v>
      </c>
      <c r="L102" s="303">
        <f>Updater!L23</f>
        <v>0.43</v>
      </c>
      <c r="M102" s="303">
        <f>Updater!M23</f>
        <v>0.4</v>
      </c>
      <c r="P102" s="75">
        <v>3</v>
      </c>
      <c r="Q102" s="78" t="s">
        <v>212</v>
      </c>
      <c r="R102" s="79"/>
      <c r="S102" s="80"/>
      <c r="T102" s="849">
        <f>Updater!F53</f>
        <v>0.96</v>
      </c>
      <c r="U102" s="850"/>
      <c r="V102" s="849">
        <f>Updater!H53</f>
        <v>1.111</v>
      </c>
      <c r="W102" s="850"/>
      <c r="X102" s="849">
        <f>Updater!J53</f>
        <v>0.98899999999999999</v>
      </c>
      <c r="Y102" s="850"/>
      <c r="Z102" s="849">
        <f>Updater!L53</f>
        <v>1.032</v>
      </c>
      <c r="AA102" s="850"/>
      <c r="AB102" s="849">
        <f>Updater!N53</f>
        <v>1.032</v>
      </c>
      <c r="AC102" s="850"/>
      <c r="AD102" s="849">
        <f>Updater!P53</f>
        <v>1.1120000000000001</v>
      </c>
      <c r="AE102" s="850"/>
      <c r="AF102" s="849">
        <f>Updater!R53</f>
        <v>1.0389999999999999</v>
      </c>
      <c r="AG102" s="850"/>
      <c r="AH102" s="849">
        <f>Updater!T53</f>
        <v>1.093</v>
      </c>
      <c r="AI102" s="850"/>
      <c r="AJ102" s="849">
        <f>Updater!V53</f>
        <v>1.024</v>
      </c>
      <c r="AK102" s="850"/>
      <c r="AL102" s="849">
        <f>Updater!X53</f>
        <v>1.373</v>
      </c>
      <c r="AM102" s="850"/>
    </row>
    <row r="103" spans="2:39" x14ac:dyDescent="0.25">
      <c r="B103" s="888">
        <f t="shared" si="0"/>
        <v>0.16666666666666666</v>
      </c>
      <c r="C103" s="888"/>
      <c r="D103" s="303">
        <f>Updater!D24</f>
        <v>1.2</v>
      </c>
      <c r="E103" s="303">
        <f>Updater!E24</f>
        <v>1.52</v>
      </c>
      <c r="F103" s="303">
        <f>Updater!F24</f>
        <v>0.83</v>
      </c>
      <c r="G103" s="303">
        <f>Updater!G24</f>
        <v>1.1599999999999999</v>
      </c>
      <c r="H103" s="303">
        <f>Updater!H24</f>
        <v>0.72</v>
      </c>
      <c r="I103" s="303">
        <f>Updater!I24</f>
        <v>0.94</v>
      </c>
      <c r="J103" s="303">
        <f>Updater!J24</f>
        <v>1.04</v>
      </c>
      <c r="K103" s="303">
        <f>Updater!K24</f>
        <v>0.86</v>
      </c>
      <c r="L103" s="303">
        <f>Updater!L24</f>
        <v>0.9</v>
      </c>
      <c r="M103" s="303">
        <f>Updater!M24</f>
        <v>0.7</v>
      </c>
      <c r="P103" s="75">
        <v>4</v>
      </c>
      <c r="Q103" s="78" t="s">
        <v>213</v>
      </c>
      <c r="R103" s="79"/>
      <c r="S103" s="80"/>
      <c r="T103" s="849">
        <f>Updater!F54</f>
        <v>0.91200000000000003</v>
      </c>
      <c r="U103" s="850"/>
      <c r="V103" s="849">
        <f>Updater!H54</f>
        <v>0.94</v>
      </c>
      <c r="W103" s="850"/>
      <c r="X103" s="849">
        <f>Updater!J54</f>
        <v>0.95199999999999996</v>
      </c>
      <c r="Y103" s="850"/>
      <c r="Z103" s="849">
        <f>Updater!L54</f>
        <v>0.96099999999999997</v>
      </c>
      <c r="AA103" s="850"/>
      <c r="AB103" s="849">
        <f>Updater!N54</f>
        <v>0.93300000000000005</v>
      </c>
      <c r="AC103" s="850"/>
      <c r="AD103" s="849">
        <f>Updater!P54</f>
        <v>0.99299999999999999</v>
      </c>
      <c r="AE103" s="850"/>
      <c r="AF103" s="849">
        <f>Updater!R54</f>
        <v>0.96899999999999997</v>
      </c>
      <c r="AG103" s="850"/>
      <c r="AH103" s="849">
        <f>Updater!T54</f>
        <v>1.0169999999999999</v>
      </c>
      <c r="AI103" s="850"/>
      <c r="AJ103" s="849">
        <f>Updater!V54</f>
        <v>0.95899999999999996</v>
      </c>
      <c r="AK103" s="850"/>
      <c r="AL103" s="849">
        <f>Updater!X54</f>
        <v>1.123</v>
      </c>
      <c r="AM103" s="850"/>
    </row>
    <row r="104" spans="2:39" x14ac:dyDescent="0.25">
      <c r="B104" s="888">
        <f t="shared" si="0"/>
        <v>0.20833333333333331</v>
      </c>
      <c r="C104" s="888"/>
      <c r="D104" s="303">
        <f>Updater!D25</f>
        <v>2.58</v>
      </c>
      <c r="E104" s="303">
        <f>Updater!E25</f>
        <v>2.52</v>
      </c>
      <c r="F104" s="303">
        <f>Updater!F25</f>
        <v>2.2000000000000002</v>
      </c>
      <c r="G104" s="303">
        <f>Updater!G25</f>
        <v>2.76</v>
      </c>
      <c r="H104" s="303">
        <f>Updater!H25</f>
        <v>1.98</v>
      </c>
      <c r="I104" s="303">
        <f>Updater!I25</f>
        <v>2.42</v>
      </c>
      <c r="J104" s="303">
        <f>Updater!J25</f>
        <v>2.71</v>
      </c>
      <c r="K104" s="303">
        <f>Updater!K25</f>
        <v>2.1800000000000002</v>
      </c>
      <c r="L104" s="303">
        <f>Updater!L25</f>
        <v>2.37</v>
      </c>
      <c r="M104" s="303">
        <f>Updater!M25</f>
        <v>1.77</v>
      </c>
      <c r="P104" s="75">
        <v>5</v>
      </c>
      <c r="Q104" s="78" t="s">
        <v>214</v>
      </c>
      <c r="R104" s="79"/>
      <c r="S104" s="80"/>
      <c r="T104" s="849">
        <f>Updater!F55</f>
        <v>0.95299999999999996</v>
      </c>
      <c r="U104" s="850"/>
      <c r="V104" s="849">
        <f>Updater!H55</f>
        <v>0.89</v>
      </c>
      <c r="W104" s="850"/>
      <c r="X104" s="849">
        <f>Updater!J55</f>
        <v>0.94</v>
      </c>
      <c r="Y104" s="850"/>
      <c r="Z104" s="849">
        <f>Updater!L55</f>
        <v>0.92400000000000004</v>
      </c>
      <c r="AA104" s="850"/>
      <c r="AB104" s="849">
        <f>Updater!N55</f>
        <v>0.89900000000000002</v>
      </c>
      <c r="AC104" s="850"/>
      <c r="AD104" s="849">
        <f>Updater!P55</f>
        <v>0.90400000000000003</v>
      </c>
      <c r="AE104" s="850"/>
      <c r="AF104" s="849">
        <f>Updater!R55</f>
        <v>0.92700000000000005</v>
      </c>
      <c r="AG104" s="850"/>
      <c r="AH104" s="849">
        <f>Updater!T55</f>
        <v>0.90100000000000002</v>
      </c>
      <c r="AI104" s="850"/>
      <c r="AJ104" s="849">
        <f>Updater!V55</f>
        <v>0.92900000000000005</v>
      </c>
      <c r="AK104" s="850"/>
      <c r="AL104" s="849">
        <f>Updater!X55</f>
        <v>0.83</v>
      </c>
      <c r="AM104" s="850"/>
    </row>
    <row r="105" spans="2:39" ht="15" customHeight="1" x14ac:dyDescent="0.25">
      <c r="B105" s="888">
        <f t="shared" si="0"/>
        <v>0.24999999999999997</v>
      </c>
      <c r="C105" s="888"/>
      <c r="D105" s="303">
        <f>Updater!D26</f>
        <v>5.12</v>
      </c>
      <c r="E105" s="303">
        <f>Updater!E26</f>
        <v>4.16</v>
      </c>
      <c r="F105" s="303">
        <f>Updater!F26</f>
        <v>4.71</v>
      </c>
      <c r="G105" s="303">
        <f>Updater!G26</f>
        <v>5.03</v>
      </c>
      <c r="H105" s="303">
        <f>Updater!H26</f>
        <v>4.42</v>
      </c>
      <c r="I105" s="303">
        <f>Updater!I26</f>
        <v>4.71</v>
      </c>
      <c r="J105" s="303">
        <f>Updater!J26</f>
        <v>5.1100000000000003</v>
      </c>
      <c r="K105" s="303">
        <f>Updater!K26</f>
        <v>4.51</v>
      </c>
      <c r="L105" s="303">
        <f>Updater!L26</f>
        <v>4.78</v>
      </c>
      <c r="M105" s="303">
        <f>Updater!M26</f>
        <v>4.1100000000000003</v>
      </c>
      <c r="P105" s="75">
        <v>6</v>
      </c>
      <c r="Q105" s="78" t="s">
        <v>215</v>
      </c>
      <c r="R105" s="79"/>
      <c r="S105" s="80"/>
      <c r="T105" s="849">
        <f>Updater!F56</f>
        <v>0.86399999999999999</v>
      </c>
      <c r="U105" s="850"/>
      <c r="V105" s="849">
        <f>Updater!H56</f>
        <v>0.96499999999999997</v>
      </c>
      <c r="W105" s="850"/>
      <c r="X105" s="849">
        <f>Updater!J56</f>
        <v>0.93700000000000006</v>
      </c>
      <c r="Y105" s="850"/>
      <c r="Z105" s="849">
        <f>Updater!L56</f>
        <v>0.98399999999999999</v>
      </c>
      <c r="AA105" s="850"/>
      <c r="AB105" s="849">
        <f>Updater!N56</f>
        <v>0.88100000000000001</v>
      </c>
      <c r="AC105" s="850"/>
      <c r="AD105" s="849">
        <f>Updater!P56</f>
        <v>0.90700000000000003</v>
      </c>
      <c r="AE105" s="850"/>
      <c r="AF105" s="849">
        <f>Updater!R56</f>
        <v>0.90900000000000003</v>
      </c>
      <c r="AG105" s="850"/>
      <c r="AH105" s="849">
        <f>Updater!T56</f>
        <v>0.88600000000000001</v>
      </c>
      <c r="AI105" s="850"/>
      <c r="AJ105" s="849">
        <f>Updater!V56</f>
        <v>0.92500000000000004</v>
      </c>
      <c r="AK105" s="850"/>
      <c r="AL105" s="849">
        <f>Updater!X56</f>
        <v>0.78600000000000003</v>
      </c>
      <c r="AM105" s="850"/>
    </row>
    <row r="106" spans="2:39" x14ac:dyDescent="0.25">
      <c r="B106" s="888">
        <f t="shared" si="0"/>
        <v>0.29166666666666663</v>
      </c>
      <c r="C106" s="888"/>
      <c r="D106" s="303">
        <f>Updater!D27</f>
        <v>6.82</v>
      </c>
      <c r="E106" s="303">
        <f>Updater!E27</f>
        <v>5.35</v>
      </c>
      <c r="F106" s="303">
        <f>Updater!F27</f>
        <v>6.7</v>
      </c>
      <c r="G106" s="303">
        <f>Updater!G27</f>
        <v>6.47</v>
      </c>
      <c r="H106" s="303">
        <f>Updater!H27</f>
        <v>6.63</v>
      </c>
      <c r="I106" s="303">
        <f>Updater!I27</f>
        <v>6.15</v>
      </c>
      <c r="J106" s="303">
        <f>Updater!J27</f>
        <v>6.54</v>
      </c>
      <c r="K106" s="303">
        <f>Updater!K27</f>
        <v>6.3</v>
      </c>
      <c r="L106" s="303">
        <f>Updater!L27</f>
        <v>6.61</v>
      </c>
      <c r="M106" s="303">
        <f>Updater!M27</f>
        <v>6.08</v>
      </c>
      <c r="P106" s="75">
        <v>7</v>
      </c>
      <c r="Q106" s="78" t="s">
        <v>216</v>
      </c>
      <c r="R106" s="79"/>
      <c r="S106" s="80"/>
      <c r="T106" s="849">
        <f>Updater!F57</f>
        <v>0.94499999999999995</v>
      </c>
      <c r="U106" s="850"/>
      <c r="V106" s="849">
        <f>Updater!H57</f>
        <v>0.80800000000000005</v>
      </c>
      <c r="W106" s="850"/>
      <c r="X106" s="849">
        <f>Updater!J57</f>
        <v>0.95499999999999996</v>
      </c>
      <c r="Y106" s="850"/>
      <c r="Z106" s="849">
        <f>Updater!L57</f>
        <v>0.98</v>
      </c>
      <c r="AA106" s="850"/>
      <c r="AB106" s="849">
        <f>Updater!N57</f>
        <v>0.95899999999999996</v>
      </c>
      <c r="AC106" s="850"/>
      <c r="AD106" s="849">
        <f>Updater!P57</f>
        <v>0.89500000000000002</v>
      </c>
      <c r="AE106" s="850"/>
      <c r="AF106" s="849">
        <f>Updater!R57</f>
        <v>0.92200000000000004</v>
      </c>
      <c r="AG106" s="850"/>
      <c r="AH106" s="849">
        <f>Updater!T57</f>
        <v>0.86099999999999999</v>
      </c>
      <c r="AI106" s="850"/>
      <c r="AJ106" s="849">
        <f>Updater!V57</f>
        <v>0.91600000000000004</v>
      </c>
      <c r="AK106" s="850"/>
      <c r="AL106" s="849">
        <f>Updater!X57</f>
        <v>0.69599999999999995</v>
      </c>
      <c r="AM106" s="850"/>
    </row>
    <row r="107" spans="2:39" ht="15" customHeight="1" x14ac:dyDescent="0.25">
      <c r="B107" s="888">
        <f t="shared" si="0"/>
        <v>0.33333333333333331</v>
      </c>
      <c r="C107" s="888"/>
      <c r="D107" s="303">
        <f>Updater!D28</f>
        <v>6.14</v>
      </c>
      <c r="E107" s="303">
        <f>Updater!E28</f>
        <v>5.22</v>
      </c>
      <c r="F107" s="303">
        <f>Updater!F28</f>
        <v>6.26</v>
      </c>
      <c r="G107" s="303">
        <f>Updater!G28</f>
        <v>5.8</v>
      </c>
      <c r="H107" s="303">
        <f>Updater!H28</f>
        <v>6.15</v>
      </c>
      <c r="I107" s="303">
        <f>Updater!I28</f>
        <v>5.63</v>
      </c>
      <c r="J107" s="303">
        <f>Updater!J28</f>
        <v>5.71</v>
      </c>
      <c r="K107" s="303">
        <f>Updater!K28</f>
        <v>5.79</v>
      </c>
      <c r="L107" s="303">
        <f>Updater!L28</f>
        <v>5.86</v>
      </c>
      <c r="M107" s="303">
        <f>Updater!M28</f>
        <v>5.68</v>
      </c>
      <c r="P107" s="75">
        <v>8</v>
      </c>
      <c r="Q107" s="78" t="s">
        <v>217</v>
      </c>
      <c r="R107" s="79"/>
      <c r="S107" s="80"/>
      <c r="T107" s="849">
        <f>Updater!F58</f>
        <v>0.84199999999999997</v>
      </c>
      <c r="U107" s="850"/>
      <c r="V107" s="849">
        <f>Updater!H58</f>
        <v>0.81200000000000006</v>
      </c>
      <c r="W107" s="850"/>
      <c r="X107" s="849">
        <f>Updater!J58</f>
        <v>0.93400000000000005</v>
      </c>
      <c r="Y107" s="850"/>
      <c r="Z107" s="849">
        <f>Updater!L58</f>
        <v>0.878</v>
      </c>
      <c r="AA107" s="850"/>
      <c r="AB107" s="849">
        <f>Updater!N58</f>
        <v>0.91100000000000003</v>
      </c>
      <c r="AC107" s="850"/>
      <c r="AD107" s="849">
        <f>Updater!P58</f>
        <v>0.88400000000000001</v>
      </c>
      <c r="AE107" s="850"/>
      <c r="AF107" s="849">
        <f>Updater!R58</f>
        <v>0.90700000000000003</v>
      </c>
      <c r="AG107" s="850"/>
      <c r="AH107" s="849">
        <f>Updater!T58</f>
        <v>0.873</v>
      </c>
      <c r="AI107" s="850"/>
      <c r="AJ107" s="849">
        <f>Updater!V58</f>
        <v>0.94499999999999995</v>
      </c>
      <c r="AK107" s="850"/>
      <c r="AL107" s="849">
        <f>Updater!X58</f>
        <v>0.80400000000000005</v>
      </c>
      <c r="AM107" s="850"/>
    </row>
    <row r="108" spans="2:39" ht="15" customHeight="1" x14ac:dyDescent="0.25">
      <c r="B108" s="888">
        <f t="shared" si="0"/>
        <v>0.375</v>
      </c>
      <c r="C108" s="888"/>
      <c r="D108" s="303">
        <f>Updater!D29</f>
        <v>5.26</v>
      </c>
      <c r="E108" s="303">
        <f>Updater!E29</f>
        <v>5.19</v>
      </c>
      <c r="F108" s="303">
        <f>Updater!F29</f>
        <v>5.35</v>
      </c>
      <c r="G108" s="303">
        <f>Updater!G29</f>
        <v>5.32</v>
      </c>
      <c r="H108" s="303">
        <f>Updater!H29</f>
        <v>5.18</v>
      </c>
      <c r="I108" s="303">
        <f>Updater!I29</f>
        <v>5.4</v>
      </c>
      <c r="J108" s="303">
        <f>Updater!J29</f>
        <v>5.13</v>
      </c>
      <c r="K108" s="303">
        <f>Updater!K29</f>
        <v>5.19</v>
      </c>
      <c r="L108" s="303">
        <f>Updater!L29</f>
        <v>5.05</v>
      </c>
      <c r="M108" s="303">
        <f>Updater!M29</f>
        <v>5.53</v>
      </c>
      <c r="P108" s="75">
        <v>9</v>
      </c>
      <c r="Q108" s="78" t="s">
        <v>218</v>
      </c>
      <c r="R108" s="79"/>
      <c r="S108" s="80"/>
      <c r="T108" s="849">
        <f>Updater!F59</f>
        <v>1.069</v>
      </c>
      <c r="U108" s="850"/>
      <c r="V108" s="849">
        <f>Updater!H59</f>
        <v>0.93100000000000005</v>
      </c>
      <c r="W108" s="850"/>
      <c r="X108" s="849">
        <f>Updater!J59</f>
        <v>0.96199999999999997</v>
      </c>
      <c r="Y108" s="850"/>
      <c r="Z108" s="849">
        <f>Updater!L59</f>
        <v>1.04</v>
      </c>
      <c r="AA108" s="850"/>
      <c r="AB108" s="849">
        <f>Updater!N59</f>
        <v>0.96099999999999997</v>
      </c>
      <c r="AC108" s="850"/>
      <c r="AD108" s="849">
        <f>Updater!P59</f>
        <v>0.91900000000000004</v>
      </c>
      <c r="AE108" s="850"/>
      <c r="AF108" s="849">
        <f>Updater!R59</f>
        <v>0.96399999999999997</v>
      </c>
      <c r="AG108" s="850"/>
      <c r="AH108" s="849">
        <f>Updater!T59</f>
        <v>0.91100000000000003</v>
      </c>
      <c r="AI108" s="850"/>
      <c r="AJ108" s="849">
        <f>Updater!V59</f>
        <v>0.97899999999999998</v>
      </c>
      <c r="AK108" s="850"/>
      <c r="AL108" s="849">
        <f>Updater!X59</f>
        <v>0.97599999999999998</v>
      </c>
      <c r="AM108" s="850"/>
    </row>
    <row r="109" spans="2:39" ht="15" customHeight="1" x14ac:dyDescent="0.25">
      <c r="B109" s="888">
        <f t="shared" si="0"/>
        <v>0.41666666666666669</v>
      </c>
      <c r="C109" s="888"/>
      <c r="D109" s="303">
        <f>Updater!D30</f>
        <v>5.0599999999999996</v>
      </c>
      <c r="E109" s="303">
        <f>Updater!E30</f>
        <v>5.45</v>
      </c>
      <c r="F109" s="303">
        <f>Updater!F30</f>
        <v>5.16</v>
      </c>
      <c r="G109" s="303">
        <f>Updater!G30</f>
        <v>5.41</v>
      </c>
      <c r="H109" s="303">
        <f>Updater!H30</f>
        <v>5.04</v>
      </c>
      <c r="I109" s="303">
        <f>Updater!I30</f>
        <v>5.58</v>
      </c>
      <c r="J109" s="303">
        <f>Updater!J30</f>
        <v>5.16</v>
      </c>
      <c r="K109" s="303">
        <f>Updater!K30</f>
        <v>5.24</v>
      </c>
      <c r="L109" s="303">
        <f>Updater!L30</f>
        <v>5</v>
      </c>
      <c r="M109" s="303">
        <f>Updater!M30</f>
        <v>5.61</v>
      </c>
      <c r="P109" s="75">
        <v>10</v>
      </c>
      <c r="Q109" s="78" t="s">
        <v>219</v>
      </c>
      <c r="R109" s="79"/>
      <c r="S109" s="80"/>
      <c r="T109" s="849">
        <f>Updater!F60</f>
        <v>0.99</v>
      </c>
      <c r="U109" s="850"/>
      <c r="V109" s="849">
        <f>Updater!H60</f>
        <v>0.91800000000000004</v>
      </c>
      <c r="W109" s="850"/>
      <c r="X109" s="849">
        <f>Updater!J60</f>
        <v>0.94399999999999995</v>
      </c>
      <c r="Y109" s="850"/>
      <c r="Z109" s="849">
        <f>Updater!L60</f>
        <v>0.91500000000000004</v>
      </c>
      <c r="AA109" s="850"/>
      <c r="AB109" s="849">
        <f>Updater!N60</f>
        <v>0.94</v>
      </c>
      <c r="AC109" s="850"/>
      <c r="AD109" s="849">
        <f>Updater!P60</f>
        <v>0.93600000000000005</v>
      </c>
      <c r="AE109" s="850"/>
      <c r="AF109" s="849">
        <f>Updater!R60</f>
        <v>0.96099999999999997</v>
      </c>
      <c r="AG109" s="850"/>
      <c r="AH109" s="849">
        <f>Updater!T60</f>
        <v>0.94399999999999995</v>
      </c>
      <c r="AI109" s="850"/>
      <c r="AJ109" s="849">
        <f>Updater!V60</f>
        <v>0.91600000000000004</v>
      </c>
      <c r="AK109" s="850"/>
      <c r="AL109" s="849">
        <f>Updater!X60</f>
        <v>1.0649999999999999</v>
      </c>
      <c r="AM109" s="850"/>
    </row>
    <row r="110" spans="2:39" ht="15" customHeight="1" x14ac:dyDescent="0.25">
      <c r="B110" s="888">
        <f t="shared" si="0"/>
        <v>0.45833333333333337</v>
      </c>
      <c r="C110" s="888"/>
      <c r="D110" s="303">
        <f>Updater!D31</f>
        <v>5.22</v>
      </c>
      <c r="E110" s="303">
        <f>Updater!E31</f>
        <v>5.65</v>
      </c>
      <c r="F110" s="303">
        <f>Updater!F31</f>
        <v>5.47</v>
      </c>
      <c r="G110" s="303">
        <f>Updater!G31</f>
        <v>5.61</v>
      </c>
      <c r="H110" s="303">
        <f>Updater!H31</f>
        <v>5.45</v>
      </c>
      <c r="I110" s="303">
        <f>Updater!I31</f>
        <v>5.87</v>
      </c>
      <c r="J110" s="303">
        <f>Updater!J31</f>
        <v>5.39</v>
      </c>
      <c r="K110" s="303">
        <f>Updater!K31</f>
        <v>5.56</v>
      </c>
      <c r="L110" s="303">
        <f>Updater!L31</f>
        <v>5.3</v>
      </c>
      <c r="M110" s="303">
        <f>Updater!M31</f>
        <v>6.09</v>
      </c>
      <c r="P110" s="75">
        <v>11</v>
      </c>
      <c r="Q110" s="78" t="s">
        <v>220</v>
      </c>
      <c r="R110" s="79"/>
      <c r="S110" s="80"/>
      <c r="T110" s="849">
        <f>Updater!F61</f>
        <v>0.93100000000000005</v>
      </c>
      <c r="U110" s="850"/>
      <c r="V110" s="849">
        <f>Updater!H61</f>
        <v>0.96799999999999997</v>
      </c>
      <c r="W110" s="850"/>
      <c r="X110" s="849">
        <f>Updater!J61</f>
        <v>1.0049999999999999</v>
      </c>
      <c r="Y110" s="850"/>
      <c r="Z110" s="849">
        <f>Updater!L61</f>
        <v>1.0049999999999999</v>
      </c>
      <c r="AA110" s="850"/>
      <c r="AB110" s="849">
        <f>Updater!N61</f>
        <v>1.006</v>
      </c>
      <c r="AC110" s="850"/>
      <c r="AD110" s="849">
        <f>Updater!P61</f>
        <v>1.087</v>
      </c>
      <c r="AE110" s="850"/>
      <c r="AF110" s="849">
        <f>Updater!R61</f>
        <v>1.056</v>
      </c>
      <c r="AG110" s="850"/>
      <c r="AH110" s="849">
        <f>Updater!T61</f>
        <v>1.0860000000000001</v>
      </c>
      <c r="AI110" s="850"/>
      <c r="AJ110" s="849">
        <f>Updater!V61</f>
        <v>1.0609999999999999</v>
      </c>
      <c r="AK110" s="850"/>
      <c r="AL110" s="849">
        <f>Updater!X61</f>
        <v>1.2729999999999999</v>
      </c>
      <c r="AM110" s="850"/>
    </row>
    <row r="111" spans="2:39" x14ac:dyDescent="0.25">
      <c r="B111" s="888">
        <f t="shared" si="0"/>
        <v>0.5</v>
      </c>
      <c r="C111" s="888"/>
      <c r="D111" s="303">
        <f>Updater!D32</f>
        <v>5.41</v>
      </c>
      <c r="E111" s="303">
        <f>Updater!E32</f>
        <v>5.8</v>
      </c>
      <c r="F111" s="303">
        <f>Updater!F32</f>
        <v>5.8</v>
      </c>
      <c r="G111" s="303">
        <f>Updater!G32</f>
        <v>5.82</v>
      </c>
      <c r="H111" s="303">
        <f>Updater!H32</f>
        <v>5.85</v>
      </c>
      <c r="I111" s="303">
        <f>Updater!I32</f>
        <v>6.1</v>
      </c>
      <c r="J111" s="303">
        <f>Updater!J32</f>
        <v>5.66</v>
      </c>
      <c r="K111" s="303">
        <f>Updater!K32</f>
        <v>5.95</v>
      </c>
      <c r="L111" s="303">
        <f>Updater!L32</f>
        <v>5.65</v>
      </c>
      <c r="M111" s="303">
        <f>Updater!M32</f>
        <v>6.27</v>
      </c>
      <c r="P111" s="75">
        <v>12</v>
      </c>
      <c r="Q111" s="78" t="s">
        <v>221</v>
      </c>
      <c r="R111" s="79"/>
      <c r="S111" s="80"/>
      <c r="T111" s="849">
        <f>Updater!F62</f>
        <v>0.98299999999999998</v>
      </c>
      <c r="U111" s="850"/>
      <c r="V111" s="849">
        <f>Updater!H62</f>
        <v>1.03</v>
      </c>
      <c r="W111" s="850"/>
      <c r="X111" s="849">
        <f>Updater!J62</f>
        <v>1.0029999999999999</v>
      </c>
      <c r="Y111" s="850"/>
      <c r="Z111" s="849">
        <f>Updater!L62</f>
        <v>1.069</v>
      </c>
      <c r="AA111" s="850"/>
      <c r="AB111" s="849">
        <f>Updater!N62</f>
        <v>1.0089999999999999</v>
      </c>
      <c r="AC111" s="850"/>
      <c r="AD111" s="849">
        <f>Updater!P62</f>
        <v>1.1000000000000001</v>
      </c>
      <c r="AE111" s="850"/>
      <c r="AF111" s="849">
        <f>Updater!R62</f>
        <v>1.0509999999999999</v>
      </c>
      <c r="AG111" s="850"/>
      <c r="AH111" s="849">
        <f>Updater!T62</f>
        <v>1.1140000000000001</v>
      </c>
      <c r="AI111" s="850"/>
      <c r="AJ111" s="849">
        <f>Updater!V62</f>
        <v>1.4139999999999999</v>
      </c>
      <c r="AK111" s="850"/>
      <c r="AL111" s="849">
        <f>Updater!X62</f>
        <v>1.3240000000000001</v>
      </c>
      <c r="AM111" s="850"/>
    </row>
    <row r="112" spans="2:39" x14ac:dyDescent="0.25">
      <c r="B112" s="888">
        <f t="shared" si="0"/>
        <v>0.54166666666666663</v>
      </c>
      <c r="C112" s="888"/>
      <c r="D112" s="303">
        <f>Updater!D33</f>
        <v>5.56</v>
      </c>
      <c r="E112" s="303">
        <f>Updater!E33</f>
        <v>6</v>
      </c>
      <c r="F112" s="303">
        <f>Updater!F33</f>
        <v>5.83</v>
      </c>
      <c r="G112" s="303">
        <f>Updater!G33</f>
        <v>6</v>
      </c>
      <c r="H112" s="303">
        <f>Updater!H33</f>
        <v>5.8</v>
      </c>
      <c r="I112" s="303">
        <f>Updater!I33</f>
        <v>6.2</v>
      </c>
      <c r="J112" s="303">
        <f>Updater!J33</f>
        <v>5.79</v>
      </c>
      <c r="K112" s="303">
        <f>Updater!K33</f>
        <v>5.92</v>
      </c>
      <c r="L112" s="303">
        <f>Updater!L33</f>
        <v>5.72</v>
      </c>
      <c r="M112" s="303">
        <f>Updater!M33</f>
        <v>6.41</v>
      </c>
      <c r="P112" s="915" t="s">
        <v>791</v>
      </c>
      <c r="Q112" s="916"/>
      <c r="R112" s="916"/>
      <c r="S112" s="916"/>
      <c r="T112" s="916"/>
      <c r="U112" s="916"/>
      <c r="V112" s="916"/>
      <c r="W112" s="916"/>
      <c r="X112" s="916"/>
      <c r="Y112" s="916"/>
      <c r="Z112" s="916"/>
      <c r="AA112" s="916"/>
      <c r="AB112" s="916"/>
      <c r="AC112" s="916"/>
      <c r="AD112" s="916"/>
      <c r="AE112" s="916"/>
      <c r="AF112" s="916"/>
      <c r="AG112" s="916"/>
      <c r="AH112" s="916"/>
      <c r="AI112" s="916"/>
      <c r="AJ112" s="916"/>
      <c r="AK112" s="916"/>
      <c r="AL112" s="916"/>
      <c r="AM112" s="917"/>
    </row>
    <row r="113" spans="2:39" x14ac:dyDescent="0.25">
      <c r="B113" s="888">
        <f t="shared" si="0"/>
        <v>0.58333333333333326</v>
      </c>
      <c r="C113" s="888"/>
      <c r="D113" s="303">
        <f>Updater!D34</f>
        <v>6.14</v>
      </c>
      <c r="E113" s="303">
        <f>Updater!E34</f>
        <v>6.44</v>
      </c>
      <c r="F113" s="303">
        <f>Updater!F34</f>
        <v>6.37</v>
      </c>
      <c r="G113" s="303">
        <f>Updater!G34</f>
        <v>6.62</v>
      </c>
      <c r="H113" s="303">
        <f>Updater!H34</f>
        <v>6.41</v>
      </c>
      <c r="I113" s="303">
        <f>Updater!I34</f>
        <v>6.89</v>
      </c>
      <c r="J113" s="303">
        <f>Updater!J34</f>
        <v>6.52</v>
      </c>
      <c r="K113" s="303">
        <f>Updater!K34</f>
        <v>6.57</v>
      </c>
      <c r="L113" s="303">
        <f>Updater!L34</f>
        <v>6.45</v>
      </c>
      <c r="M113" s="303">
        <f>Updater!M34</f>
        <v>6.81</v>
      </c>
      <c r="W113" s="35"/>
      <c r="X113" s="35"/>
    </row>
    <row r="114" spans="2:39" x14ac:dyDescent="0.25">
      <c r="B114" s="888">
        <f t="shared" si="0"/>
        <v>0.62499999999999989</v>
      </c>
      <c r="C114" s="888"/>
      <c r="D114" s="303">
        <f>Updater!D35</f>
        <v>7.07</v>
      </c>
      <c r="E114" s="303">
        <f>Updater!E35</f>
        <v>7.01</v>
      </c>
      <c r="F114" s="303">
        <f>Updater!F35</f>
        <v>7.28</v>
      </c>
      <c r="G114" s="303">
        <f>Updater!G35</f>
        <v>7.62</v>
      </c>
      <c r="H114" s="303">
        <f>Updater!H35</f>
        <v>7.52</v>
      </c>
      <c r="I114" s="303">
        <f>Updater!I35</f>
        <v>7.87</v>
      </c>
      <c r="J114" s="303">
        <f>Updater!J35</f>
        <v>7.7</v>
      </c>
      <c r="K114" s="303">
        <f>Updater!K35</f>
        <v>7.73</v>
      </c>
      <c r="L114" s="303">
        <f>Updater!L35</f>
        <v>7.71</v>
      </c>
      <c r="M114" s="303">
        <f>Updater!M35</f>
        <v>7.61</v>
      </c>
      <c r="W114" s="35"/>
      <c r="X114" s="35"/>
    </row>
    <row r="115" spans="2:39" ht="15" customHeight="1" x14ac:dyDescent="0.25">
      <c r="B115" s="888">
        <f t="shared" si="0"/>
        <v>0.66666666666666652</v>
      </c>
      <c r="C115" s="888"/>
      <c r="D115" s="303">
        <f>Updater!D36</f>
        <v>7.66</v>
      </c>
      <c r="E115" s="303">
        <f>Updater!E36</f>
        <v>7.26</v>
      </c>
      <c r="F115" s="303">
        <f>Updater!F36</f>
        <v>7.8</v>
      </c>
      <c r="G115" s="303">
        <f>Updater!G36</f>
        <v>8.0399999999999991</v>
      </c>
      <c r="H115" s="303">
        <f>Updater!H36</f>
        <v>8.1999999999999993</v>
      </c>
      <c r="I115" s="303">
        <f>Updater!I36</f>
        <v>8.14</v>
      </c>
      <c r="J115" s="303">
        <f>Updater!J36</f>
        <v>8.2200000000000006</v>
      </c>
      <c r="K115" s="303">
        <f>Updater!K36</f>
        <v>8.23</v>
      </c>
      <c r="L115" s="303">
        <f>Updater!L36</f>
        <v>8.3000000000000007</v>
      </c>
      <c r="M115" s="303">
        <f>Updater!M36</f>
        <v>8.1</v>
      </c>
      <c r="W115" s="35"/>
      <c r="X115" s="35"/>
    </row>
    <row r="116" spans="2:39" x14ac:dyDescent="0.25">
      <c r="B116" s="888">
        <f t="shared" si="0"/>
        <v>0.70833333333333315</v>
      </c>
      <c r="C116" s="888"/>
      <c r="D116" s="303">
        <f>Updater!D37</f>
        <v>7.44</v>
      </c>
      <c r="E116" s="303">
        <f>Updater!E37</f>
        <v>6.81</v>
      </c>
      <c r="F116" s="303">
        <f>Updater!F37</f>
        <v>7.71</v>
      </c>
      <c r="G116" s="303">
        <f>Updater!G37</f>
        <v>7.51</v>
      </c>
      <c r="H116" s="303">
        <f>Updater!H37</f>
        <v>8.16</v>
      </c>
      <c r="I116" s="303">
        <f>Updater!I37</f>
        <v>7.44</v>
      </c>
      <c r="J116" s="303">
        <f>Updater!J37</f>
        <v>7.9</v>
      </c>
      <c r="K116" s="303">
        <f>Updater!K37</f>
        <v>7.88</v>
      </c>
      <c r="L116" s="303">
        <f>Updater!L37</f>
        <v>8.06</v>
      </c>
      <c r="M116" s="303">
        <f>Updater!M37</f>
        <v>7.93</v>
      </c>
      <c r="W116" s="35"/>
      <c r="X116" s="35"/>
    </row>
    <row r="117" spans="2:39" x14ac:dyDescent="0.25">
      <c r="B117" s="888">
        <f t="shared" si="0"/>
        <v>0.74999999999999978</v>
      </c>
      <c r="C117" s="888"/>
      <c r="D117" s="303">
        <f>Updater!D38</f>
        <v>5.62</v>
      </c>
      <c r="E117" s="303">
        <f>Updater!E38</f>
        <v>5.28</v>
      </c>
      <c r="F117" s="303">
        <f>Updater!F38</f>
        <v>6.04</v>
      </c>
      <c r="G117" s="303">
        <f>Updater!G38</f>
        <v>5.44</v>
      </c>
      <c r="H117" s="303">
        <f>Updater!H38</f>
        <v>6.26</v>
      </c>
      <c r="I117" s="303">
        <f>Updater!I38</f>
        <v>5.61</v>
      </c>
      <c r="J117" s="303">
        <f>Updater!J38</f>
        <v>5.8</v>
      </c>
      <c r="K117" s="303">
        <f>Updater!K38</f>
        <v>5.95</v>
      </c>
      <c r="L117" s="303">
        <f>Updater!L38</f>
        <v>6.1</v>
      </c>
      <c r="M117" s="303">
        <f>Updater!M38</f>
        <v>5.91</v>
      </c>
      <c r="W117" s="35"/>
      <c r="X117" s="35"/>
    </row>
    <row r="118" spans="2:39" x14ac:dyDescent="0.25">
      <c r="B118" s="888">
        <f t="shared" si="0"/>
        <v>0.79166666666666641</v>
      </c>
      <c r="C118" s="888"/>
      <c r="D118" s="303">
        <f>Updater!D39</f>
        <v>4.1900000000000004</v>
      </c>
      <c r="E118" s="303">
        <f>Updater!E39</f>
        <v>4.26</v>
      </c>
      <c r="F118" s="303">
        <f>Updater!F39</f>
        <v>4.57</v>
      </c>
      <c r="G118" s="303">
        <f>Updater!G39</f>
        <v>4.08</v>
      </c>
      <c r="H118" s="303">
        <f>Updater!H39</f>
        <v>4.74</v>
      </c>
      <c r="I118" s="303">
        <f>Updater!I39</f>
        <v>4.32</v>
      </c>
      <c r="J118" s="303">
        <f>Updater!J39</f>
        <v>4.33</v>
      </c>
      <c r="K118" s="303">
        <f>Updater!K39</f>
        <v>4.5999999999999996</v>
      </c>
      <c r="L118" s="303">
        <f>Updater!L39</f>
        <v>4.62</v>
      </c>
      <c r="M118" s="303">
        <f>Updater!M39</f>
        <v>4.66</v>
      </c>
      <c r="W118" s="35"/>
      <c r="X118" s="35"/>
    </row>
    <row r="119" spans="2:39" x14ac:dyDescent="0.25">
      <c r="B119" s="888">
        <f t="shared" si="0"/>
        <v>0.83333333333333304</v>
      </c>
      <c r="C119" s="888"/>
      <c r="D119" s="303">
        <f>Updater!D40</f>
        <v>3.46</v>
      </c>
      <c r="E119" s="303">
        <f>Updater!E40</f>
        <v>3.65</v>
      </c>
      <c r="F119" s="303">
        <f>Updater!F40</f>
        <v>3.71</v>
      </c>
      <c r="G119" s="303">
        <f>Updater!G40</f>
        <v>3.35</v>
      </c>
      <c r="H119" s="303">
        <f>Updater!H40</f>
        <v>3.83</v>
      </c>
      <c r="I119" s="303">
        <f>Updater!I40</f>
        <v>3.42</v>
      </c>
      <c r="J119" s="303">
        <f>Updater!J40</f>
        <v>3.56</v>
      </c>
      <c r="K119" s="303">
        <f>Updater!K40</f>
        <v>3.73</v>
      </c>
      <c r="L119" s="303">
        <f>Updater!L40</f>
        <v>3.75</v>
      </c>
      <c r="M119" s="303">
        <f>Updater!M40</f>
        <v>3.69</v>
      </c>
      <c r="W119" s="35"/>
      <c r="X119" s="35"/>
    </row>
    <row r="120" spans="2:39" x14ac:dyDescent="0.25">
      <c r="B120" s="888">
        <f t="shared" si="0"/>
        <v>0.87499999999999967</v>
      </c>
      <c r="C120" s="888"/>
      <c r="D120" s="303">
        <f>Updater!D41</f>
        <v>2.91</v>
      </c>
      <c r="E120" s="303">
        <f>Updater!E41</f>
        <v>3.13</v>
      </c>
      <c r="F120" s="303">
        <f>Updater!F41</f>
        <v>2.9</v>
      </c>
      <c r="G120" s="303">
        <f>Updater!G41</f>
        <v>2.63</v>
      </c>
      <c r="H120" s="303">
        <f>Updater!H41</f>
        <v>2.86</v>
      </c>
      <c r="I120" s="303">
        <f>Updater!I41</f>
        <v>2.57</v>
      </c>
      <c r="J120" s="303">
        <f>Updater!J41</f>
        <v>2.7</v>
      </c>
      <c r="K120" s="303">
        <f>Updater!K41</f>
        <v>2.77</v>
      </c>
      <c r="L120" s="303">
        <f>Updater!L41</f>
        <v>2.81</v>
      </c>
      <c r="M120" s="303">
        <f>Updater!M41</f>
        <v>2.67</v>
      </c>
      <c r="U120"/>
      <c r="V120" s="10"/>
      <c r="W120" s="35"/>
      <c r="X120" s="35"/>
    </row>
    <row r="121" spans="2:39" x14ac:dyDescent="0.25">
      <c r="B121" s="888">
        <f t="shared" si="0"/>
        <v>0.9166666666666663</v>
      </c>
      <c r="C121" s="888"/>
      <c r="D121" s="303">
        <f>Updater!D42</f>
        <v>2.25</v>
      </c>
      <c r="E121" s="303">
        <f>Updater!E42</f>
        <v>2.5299999999999998</v>
      </c>
      <c r="F121" s="303">
        <f>Updater!F42</f>
        <v>2.0099999999999998</v>
      </c>
      <c r="G121" s="303">
        <f>Updater!G42</f>
        <v>1.83</v>
      </c>
      <c r="H121" s="303">
        <f>Updater!H42</f>
        <v>1.9</v>
      </c>
      <c r="I121" s="303">
        <f>Updater!I42</f>
        <v>1.77</v>
      </c>
      <c r="J121" s="303">
        <f>Updater!J42</f>
        <v>1.86</v>
      </c>
      <c r="K121" s="303">
        <f>Updater!K42</f>
        <v>1.88</v>
      </c>
      <c r="L121" s="303">
        <f>Updater!L42</f>
        <v>1.9</v>
      </c>
      <c r="M121" s="303">
        <f>Updater!M42</f>
        <v>1.72</v>
      </c>
      <c r="U121"/>
      <c r="V121" s="10"/>
      <c r="W121" s="35"/>
      <c r="X121" s="35"/>
      <c r="AE121"/>
      <c r="AF121" s="10"/>
    </row>
    <row r="122" spans="2:39" x14ac:dyDescent="0.25">
      <c r="B122" s="888">
        <f t="shared" si="0"/>
        <v>0.95833333333333293</v>
      </c>
      <c r="C122" s="888"/>
      <c r="D122" s="303">
        <f>Updater!D43</f>
        <v>1.64</v>
      </c>
      <c r="E122" s="303">
        <f>Updater!E43</f>
        <v>1.97</v>
      </c>
      <c r="F122" s="303">
        <f>Updater!F43</f>
        <v>1.34</v>
      </c>
      <c r="G122" s="303">
        <f>Updater!G43</f>
        <v>1.25</v>
      </c>
      <c r="H122" s="303">
        <f>Updater!H43</f>
        <v>1.22</v>
      </c>
      <c r="I122" s="303">
        <f>Updater!I43</f>
        <v>1.1499999999999999</v>
      </c>
      <c r="J122" s="303">
        <f>Updater!J43</f>
        <v>1.21</v>
      </c>
      <c r="K122" s="303">
        <f>Updater!K43</f>
        <v>1.24</v>
      </c>
      <c r="L122" s="303">
        <f>Updater!L43</f>
        <v>1.22</v>
      </c>
      <c r="M122" s="303">
        <f>Updater!M43</f>
        <v>1.03</v>
      </c>
      <c r="U122"/>
      <c r="V122" s="10"/>
    </row>
    <row r="123" spans="2:39" x14ac:dyDescent="0.25">
      <c r="B123" s="1055" t="s">
        <v>939</v>
      </c>
      <c r="C123" s="1056"/>
      <c r="D123" s="1056"/>
      <c r="E123" s="1056"/>
      <c r="F123" s="1056"/>
      <c r="G123" s="1056"/>
      <c r="H123" s="1056"/>
      <c r="I123" s="1056"/>
      <c r="J123" s="1056"/>
      <c r="K123" s="1056"/>
      <c r="L123" s="1056"/>
      <c r="M123" s="1057"/>
      <c r="U123"/>
      <c r="V123" s="10"/>
    </row>
    <row r="124" spans="2:39" x14ac:dyDescent="0.25">
      <c r="B124" s="1058"/>
      <c r="C124" s="1059"/>
      <c r="D124" s="1059"/>
      <c r="E124" s="1059"/>
      <c r="F124" s="1059"/>
      <c r="G124" s="1059"/>
      <c r="H124" s="1059"/>
      <c r="I124" s="1059"/>
      <c r="J124" s="1059"/>
      <c r="K124" s="1059"/>
      <c r="L124" s="1059"/>
      <c r="M124" s="1060"/>
    </row>
    <row r="125" spans="2:39" x14ac:dyDescent="0.25">
      <c r="I125" s="16"/>
      <c r="J125" s="16"/>
      <c r="K125" s="16"/>
      <c r="P125" s="16"/>
      <c r="Q125" s="16"/>
      <c r="R125" s="16"/>
      <c r="S125" s="16"/>
      <c r="U125"/>
      <c r="AA125" s="10"/>
    </row>
    <row r="126" spans="2:39" x14ac:dyDescent="0.25">
      <c r="B126" s="944" t="s">
        <v>489</v>
      </c>
      <c r="C126" s="944"/>
      <c r="D126" s="944"/>
      <c r="E126" s="944"/>
      <c r="F126" s="944"/>
      <c r="G126" s="944"/>
      <c r="I126" s="1061" t="s">
        <v>490</v>
      </c>
      <c r="J126" s="1062"/>
      <c r="K126" s="1062"/>
      <c r="L126" s="1062"/>
      <c r="M126" s="1063"/>
      <c r="O126" s="944" t="s">
        <v>940</v>
      </c>
      <c r="P126" s="944"/>
      <c r="Q126" s="944"/>
      <c r="R126" s="944"/>
      <c r="S126" s="944"/>
      <c r="T126" s="944"/>
      <c r="U126"/>
      <c r="V126" s="945" t="s">
        <v>959</v>
      </c>
      <c r="W126" s="946"/>
      <c r="X126" s="946"/>
      <c r="Y126" s="946"/>
      <c r="Z126" s="946"/>
      <c r="AA126" s="946"/>
      <c r="AB126" s="946"/>
      <c r="AC126" s="946"/>
      <c r="AD126" s="1037"/>
      <c r="AE126"/>
      <c r="AG126" s="944" t="s">
        <v>942</v>
      </c>
      <c r="AH126" s="944"/>
      <c r="AI126" s="944"/>
      <c r="AJ126" s="944"/>
      <c r="AK126" s="944"/>
      <c r="AL126" s="944"/>
      <c r="AM126" s="944"/>
    </row>
    <row r="127" spans="2:39" x14ac:dyDescent="0.25">
      <c r="B127" s="944"/>
      <c r="C127" s="944"/>
      <c r="D127" s="944"/>
      <c r="E127" s="944"/>
      <c r="F127" s="944"/>
      <c r="G127" s="944"/>
      <c r="I127" s="1064"/>
      <c r="J127" s="1065"/>
      <c r="K127" s="1065"/>
      <c r="L127" s="1065"/>
      <c r="M127" s="1066"/>
      <c r="O127" s="944"/>
      <c r="P127" s="944"/>
      <c r="Q127" s="944"/>
      <c r="R127" s="944"/>
      <c r="S127" s="944"/>
      <c r="T127" s="944"/>
      <c r="U127"/>
      <c r="V127" s="854" t="s">
        <v>4</v>
      </c>
      <c r="W127" s="855"/>
      <c r="X127" s="856"/>
      <c r="Y127" s="955">
        <f>Updater!E72</f>
        <v>2018</v>
      </c>
      <c r="Z127" s="956"/>
      <c r="AA127" s="956"/>
      <c r="AB127" s="956"/>
      <c r="AC127" s="956"/>
      <c r="AD127" s="959"/>
      <c r="AE127"/>
      <c r="AG127" s="944"/>
      <c r="AH127" s="944"/>
      <c r="AI127" s="944"/>
      <c r="AJ127" s="944"/>
      <c r="AK127" s="944"/>
      <c r="AL127" s="944"/>
      <c r="AM127" s="944"/>
    </row>
    <row r="128" spans="2:39" x14ac:dyDescent="0.25">
      <c r="B128" s="845" t="s">
        <v>204</v>
      </c>
      <c r="C128" s="845"/>
      <c r="D128" s="845"/>
      <c r="E128" s="845"/>
      <c r="F128" s="1042">
        <v>0.93700000000000006</v>
      </c>
      <c r="G128" s="1042"/>
      <c r="I128" s="1024" t="s">
        <v>205</v>
      </c>
      <c r="J128" s="1025"/>
      <c r="K128" s="1026"/>
      <c r="L128" s="1038">
        <v>0.5</v>
      </c>
      <c r="M128" s="1038"/>
      <c r="O128" s="954" t="s">
        <v>4</v>
      </c>
      <c r="P128" s="954"/>
      <c r="Q128" s="954"/>
      <c r="R128" s="853">
        <f>Updater!E67</f>
        <v>2017</v>
      </c>
      <c r="S128" s="853"/>
      <c r="T128" s="853"/>
      <c r="U128"/>
      <c r="V128" s="613" t="s">
        <v>197</v>
      </c>
      <c r="W128" s="699"/>
      <c r="X128" s="614"/>
      <c r="Y128" s="613" t="s">
        <v>237</v>
      </c>
      <c r="Z128" s="614"/>
      <c r="AA128" s="613" t="s">
        <v>238</v>
      </c>
      <c r="AB128" s="614"/>
      <c r="AC128" s="613" t="s">
        <v>239</v>
      </c>
      <c r="AD128" s="614"/>
      <c r="AE128"/>
      <c r="AG128" s="857" t="s">
        <v>253</v>
      </c>
      <c r="AH128" s="857"/>
      <c r="AI128" s="857"/>
      <c r="AJ128" s="857"/>
      <c r="AK128" s="857"/>
      <c r="AL128" s="934">
        <v>1.67</v>
      </c>
      <c r="AM128" s="934"/>
    </row>
    <row r="129" spans="2:64" x14ac:dyDescent="0.25">
      <c r="B129" s="845" t="s">
        <v>207</v>
      </c>
      <c r="C129" s="845"/>
      <c r="D129" s="845"/>
      <c r="E129" s="845"/>
      <c r="F129" s="1042">
        <v>6.3E-2</v>
      </c>
      <c r="G129" s="1042"/>
      <c r="H129" s="22"/>
      <c r="I129" s="1024" t="s">
        <v>208</v>
      </c>
      <c r="J129" s="1025"/>
      <c r="K129" s="1026"/>
      <c r="L129" s="1038">
        <v>0.7</v>
      </c>
      <c r="M129" s="1038"/>
      <c r="O129" s="845" t="s">
        <v>206</v>
      </c>
      <c r="P129" s="845"/>
      <c r="Q129" s="845"/>
      <c r="R129" s="1054">
        <f>Updater!E68</f>
        <v>56951</v>
      </c>
      <c r="S129" s="1054"/>
      <c r="T129" s="1054"/>
      <c r="U129"/>
      <c r="V129" s="1018" t="s">
        <v>950</v>
      </c>
      <c r="W129" s="1019"/>
      <c r="X129" s="1020"/>
      <c r="Y129" s="942">
        <f>Updater!E74</f>
        <v>24.91</v>
      </c>
      <c r="Z129" s="943"/>
      <c r="AA129" s="942">
        <f>Updater!G74</f>
        <v>11.41</v>
      </c>
      <c r="AB129" s="943"/>
      <c r="AC129" s="942">
        <f>Y129+AA129</f>
        <v>36.32</v>
      </c>
      <c r="AD129" s="943"/>
      <c r="AE129"/>
      <c r="AG129" s="857" t="s">
        <v>254</v>
      </c>
      <c r="AH129" s="857"/>
      <c r="AI129" s="857"/>
      <c r="AJ129" s="857"/>
      <c r="AK129" s="857"/>
      <c r="AL129" s="934">
        <v>1.24</v>
      </c>
      <c r="AM129" s="934"/>
    </row>
    <row r="130" spans="2:64" x14ac:dyDescent="0.25">
      <c r="B130" s="1039" t="s">
        <v>234</v>
      </c>
      <c r="C130" s="1040"/>
      <c r="D130" s="1040"/>
      <c r="E130" s="1040"/>
      <c r="F130" s="1040"/>
      <c r="G130" s="1041"/>
      <c r="H130" s="22"/>
      <c r="I130" s="1024" t="s">
        <v>207</v>
      </c>
      <c r="J130" s="1025"/>
      <c r="K130" s="1026"/>
      <c r="L130" s="1038">
        <v>1</v>
      </c>
      <c r="M130" s="1038"/>
      <c r="O130" s="1039" t="s">
        <v>247</v>
      </c>
      <c r="P130" s="1040"/>
      <c r="Q130" s="1040"/>
      <c r="R130" s="1040"/>
      <c r="S130" s="1040"/>
      <c r="T130" s="1041"/>
      <c r="U130" s="22"/>
      <c r="V130" s="891" t="s">
        <v>240</v>
      </c>
      <c r="W130" s="829"/>
      <c r="X130" s="892"/>
      <c r="Y130" s="942">
        <f>Updater!E75</f>
        <v>14.13</v>
      </c>
      <c r="Z130" s="943"/>
      <c r="AA130" s="942">
        <f>Updater!G75</f>
        <v>13.84</v>
      </c>
      <c r="AB130" s="943"/>
      <c r="AC130" s="942">
        <f>Y130+AA130</f>
        <v>27.97</v>
      </c>
      <c r="AD130" s="943"/>
      <c r="AE130"/>
      <c r="AG130" s="857" t="s">
        <v>29</v>
      </c>
      <c r="AH130" s="857"/>
      <c r="AI130" s="857"/>
      <c r="AJ130" s="857"/>
      <c r="AK130" s="857"/>
      <c r="AL130" s="934">
        <v>1.0249999999999999</v>
      </c>
      <c r="AM130" s="934"/>
    </row>
    <row r="131" spans="2:64" x14ac:dyDescent="0.25">
      <c r="H131" s="22"/>
      <c r="I131" s="992" t="s">
        <v>256</v>
      </c>
      <c r="J131" s="993"/>
      <c r="K131" s="993"/>
      <c r="L131" s="993"/>
      <c r="M131" s="994"/>
      <c r="T131" s="22"/>
      <c r="U131"/>
      <c r="V131" s="891" t="s">
        <v>241</v>
      </c>
      <c r="W131" s="829"/>
      <c r="X131" s="892"/>
      <c r="Y131" s="942">
        <f>Updater!E76</f>
        <v>21.91</v>
      </c>
      <c r="Z131" s="943"/>
      <c r="AA131" s="942">
        <f>Updater!G76</f>
        <v>13.84</v>
      </c>
      <c r="AB131" s="943"/>
      <c r="AC131" s="942">
        <f>Y131+AA131</f>
        <v>35.75</v>
      </c>
      <c r="AD131" s="943"/>
      <c r="AE131"/>
      <c r="AG131" s="857" t="s">
        <v>30</v>
      </c>
      <c r="AH131" s="857"/>
      <c r="AI131" s="857"/>
      <c r="AJ131" s="857"/>
      <c r="AK131" s="857"/>
      <c r="AL131" s="934">
        <v>1.1200000000000001</v>
      </c>
      <c r="AM131" s="934"/>
    </row>
    <row r="132" spans="2:64" x14ac:dyDescent="0.25">
      <c r="H132" s="22"/>
      <c r="I132" s="995"/>
      <c r="J132" s="996"/>
      <c r="K132" s="996"/>
      <c r="L132" s="996"/>
      <c r="M132" s="997"/>
      <c r="U132"/>
      <c r="V132" s="861" t="s">
        <v>958</v>
      </c>
      <c r="W132" s="862"/>
      <c r="X132" s="862"/>
      <c r="Y132" s="862"/>
      <c r="Z132" s="862"/>
      <c r="AA132" s="862"/>
      <c r="AB132" s="862"/>
      <c r="AC132" s="862"/>
      <c r="AD132" s="863"/>
      <c r="AE132"/>
      <c r="AG132" s="998" t="s">
        <v>255</v>
      </c>
      <c r="AH132" s="998"/>
      <c r="AI132" s="998"/>
      <c r="AJ132" s="998"/>
      <c r="AK132" s="998"/>
      <c r="AL132" s="998"/>
      <c r="AM132" s="998"/>
    </row>
    <row r="133" spans="2:64" x14ac:dyDescent="0.25">
      <c r="H133" s="22"/>
      <c r="U133"/>
      <c r="V133" s="1045" t="s">
        <v>957</v>
      </c>
      <c r="W133" s="1046"/>
      <c r="X133" s="1046"/>
      <c r="Y133" s="1046"/>
      <c r="Z133" s="1046"/>
      <c r="AA133" s="1046"/>
      <c r="AB133" s="1046"/>
      <c r="AC133" s="1046"/>
      <c r="AD133" s="1047"/>
      <c r="AE133"/>
      <c r="AG133" s="998"/>
      <c r="AH133" s="998"/>
      <c r="AI133" s="998"/>
      <c r="AJ133" s="998"/>
      <c r="AK133" s="998"/>
      <c r="AL133" s="998"/>
      <c r="AM133" s="998"/>
    </row>
    <row r="134" spans="2:64" x14ac:dyDescent="0.25">
      <c r="P134" s="22"/>
      <c r="T134" s="10"/>
      <c r="U134"/>
      <c r="V134" s="1048" t="s">
        <v>956</v>
      </c>
      <c r="W134" s="1049"/>
      <c r="X134" s="1049"/>
      <c r="Y134" s="1049"/>
      <c r="Z134" s="1049"/>
      <c r="AA134" s="1049"/>
      <c r="AB134" s="1049"/>
      <c r="AC134" s="1049"/>
      <c r="AD134" s="1050"/>
      <c r="AE134"/>
    </row>
    <row r="135" spans="2:64" x14ac:dyDescent="0.25">
      <c r="H135"/>
    </row>
    <row r="136" spans="2:64" x14ac:dyDescent="0.25">
      <c r="B136" s="944" t="s">
        <v>829</v>
      </c>
      <c r="C136" s="944"/>
      <c r="D136" s="944"/>
      <c r="E136" s="944"/>
      <c r="F136" s="944"/>
      <c r="G136" s="944"/>
      <c r="H136"/>
      <c r="I136" s="945" t="s">
        <v>492</v>
      </c>
      <c r="J136" s="946"/>
      <c r="K136" s="946"/>
      <c r="L136" s="946"/>
      <c r="M136" s="946"/>
      <c r="N136" s="946"/>
      <c r="O136" s="946"/>
      <c r="P136" s="946"/>
      <c r="Q136" s="1037"/>
      <c r="T136" s="1043" t="s">
        <v>493</v>
      </c>
      <c r="U136" s="1044"/>
      <c r="V136" s="1044"/>
      <c r="W136" s="1044"/>
      <c r="X136" s="1044"/>
      <c r="Y136" s="1044"/>
      <c r="Z136" s="1044"/>
      <c r="AA136" s="1044"/>
      <c r="AB136" s="1044"/>
      <c r="AC136" s="1044"/>
      <c r="AF136" s="945" t="s">
        <v>494</v>
      </c>
      <c r="AG136" s="946"/>
      <c r="AH136" s="946"/>
      <c r="AI136" s="946"/>
      <c r="AJ136" s="946"/>
      <c r="AK136" s="946"/>
      <c r="AL136" s="946"/>
      <c r="AM136" s="946"/>
    </row>
    <row r="137" spans="2:64" x14ac:dyDescent="0.25">
      <c r="B137" s="944"/>
      <c r="C137" s="944"/>
      <c r="D137" s="944"/>
      <c r="E137" s="944"/>
      <c r="F137" s="944"/>
      <c r="G137" s="944"/>
      <c r="I137" s="935" t="s">
        <v>262</v>
      </c>
      <c r="J137" s="936"/>
      <c r="K137" s="937"/>
      <c r="L137" s="845" t="s">
        <v>263</v>
      </c>
      <c r="M137" s="845"/>
      <c r="N137" s="847">
        <v>6540</v>
      </c>
      <c r="O137" s="847"/>
      <c r="P137" s="999">
        <f>ROUNDUP(AVERAGE(N137:O139),-3)</f>
        <v>24000</v>
      </c>
      <c r="Q137" s="999"/>
      <c r="T137" s="954" t="s">
        <v>4</v>
      </c>
      <c r="U137" s="954"/>
      <c r="V137" s="954"/>
      <c r="W137" s="954"/>
      <c r="X137" s="954"/>
      <c r="Y137" s="955">
        <v>1995</v>
      </c>
      <c r="Z137" s="956"/>
      <c r="AA137" s="956"/>
      <c r="AB137" s="957"/>
      <c r="AC137" s="958"/>
      <c r="AF137" s="854" t="s">
        <v>4</v>
      </c>
      <c r="AG137" s="855"/>
      <c r="AH137" s="855"/>
      <c r="AI137" s="855"/>
      <c r="AJ137" s="856"/>
      <c r="AK137" s="955">
        <v>1993</v>
      </c>
      <c r="AL137" s="956"/>
      <c r="AM137" s="959"/>
    </row>
    <row r="138" spans="2:64" x14ac:dyDescent="0.25">
      <c r="B138" s="845" t="s">
        <v>31</v>
      </c>
      <c r="C138" s="845"/>
      <c r="D138" s="845"/>
      <c r="E138" s="1042">
        <f>Updater!E89</f>
        <v>5.5E-2</v>
      </c>
      <c r="F138" s="1042"/>
      <c r="G138" s="1042"/>
      <c r="I138" s="1031"/>
      <c r="J138" s="1032"/>
      <c r="K138" s="1033"/>
      <c r="L138" s="845" t="s">
        <v>264</v>
      </c>
      <c r="M138" s="845"/>
      <c r="N138" s="847">
        <v>25872</v>
      </c>
      <c r="O138" s="847"/>
      <c r="P138" s="999"/>
      <c r="Q138" s="999"/>
      <c r="T138" s="845" t="s">
        <v>276</v>
      </c>
      <c r="U138" s="845"/>
      <c r="V138" s="845"/>
      <c r="W138" s="845"/>
      <c r="X138" s="845"/>
      <c r="Y138" s="939">
        <v>1.0900000000000001</v>
      </c>
      <c r="Z138" s="940"/>
      <c r="AA138" s="33" t="s">
        <v>277</v>
      </c>
      <c r="AB138" s="1003">
        <f>ROUND(AVERAGE(Y138:Z139),2)</f>
        <v>1.27</v>
      </c>
      <c r="AC138" s="1027" t="s">
        <v>277</v>
      </c>
      <c r="AF138" s="613" t="s">
        <v>322</v>
      </c>
      <c r="AG138" s="699"/>
      <c r="AH138" s="699"/>
      <c r="AI138" s="699"/>
      <c r="AJ138" s="614"/>
      <c r="AK138" s="858">
        <v>1.35</v>
      </c>
      <c r="AL138" s="859"/>
      <c r="AM138" s="860"/>
      <c r="BB138" s="10"/>
      <c r="BL138" s="10"/>
    </row>
    <row r="139" spans="2:64" x14ac:dyDescent="0.25">
      <c r="B139" s="1053" t="s">
        <v>261</v>
      </c>
      <c r="C139" s="1053"/>
      <c r="D139" s="1053"/>
      <c r="E139" s="1053"/>
      <c r="F139" s="1053"/>
      <c r="G139" s="1053"/>
      <c r="I139" s="1034"/>
      <c r="J139" s="1035"/>
      <c r="K139" s="1036"/>
      <c r="L139" s="845" t="s">
        <v>265</v>
      </c>
      <c r="M139" s="845"/>
      <c r="N139" s="847">
        <v>39530</v>
      </c>
      <c r="O139" s="847"/>
      <c r="P139" s="999"/>
      <c r="Q139" s="999"/>
      <c r="T139" s="845" t="s">
        <v>278</v>
      </c>
      <c r="U139" s="845"/>
      <c r="V139" s="845"/>
      <c r="W139" s="845"/>
      <c r="X139" s="845"/>
      <c r="Y139" s="939">
        <v>1.45</v>
      </c>
      <c r="Z139" s="940"/>
      <c r="AA139" s="33" t="s">
        <v>277</v>
      </c>
      <c r="AB139" s="1003"/>
      <c r="AC139" s="1027"/>
      <c r="AF139" s="991" t="s">
        <v>323</v>
      </c>
      <c r="AG139" s="991"/>
      <c r="AH139" s="991"/>
      <c r="AI139" s="991"/>
      <c r="AJ139" s="991"/>
      <c r="AK139" s="991"/>
      <c r="AL139" s="991"/>
      <c r="AM139" s="991"/>
      <c r="AP139" s="35"/>
      <c r="AQ139" s="35"/>
    </row>
    <row r="140" spans="2:64" x14ac:dyDescent="0.25">
      <c r="I140" s="935" t="s">
        <v>266</v>
      </c>
      <c r="J140" s="936"/>
      <c r="K140" s="937"/>
      <c r="L140" s="845" t="s">
        <v>267</v>
      </c>
      <c r="M140" s="845"/>
      <c r="N140" s="964"/>
      <c r="O140" s="847"/>
      <c r="P140" s="999">
        <f>ROUNDUP(AVERAGE(N140:O145),-3)</f>
        <v>41000</v>
      </c>
      <c r="Q140" s="999"/>
      <c r="T140" s="845" t="s">
        <v>279</v>
      </c>
      <c r="U140" s="845"/>
      <c r="V140" s="845"/>
      <c r="W140" s="845"/>
      <c r="X140" s="845"/>
      <c r="Y140" s="939">
        <v>1.9</v>
      </c>
      <c r="Z140" s="940"/>
      <c r="AA140" s="33" t="s">
        <v>277</v>
      </c>
      <c r="AB140" s="1003">
        <f>ROUND(AVERAGE(Y140:Z141),2)</f>
        <v>2.2799999999999998</v>
      </c>
      <c r="AC140" s="1027" t="s">
        <v>277</v>
      </c>
      <c r="AP140" s="35"/>
      <c r="AQ140" s="35"/>
    </row>
    <row r="141" spans="2:64" x14ac:dyDescent="0.25">
      <c r="B141" s="35"/>
      <c r="C141" s="35"/>
      <c r="D141" s="35"/>
      <c r="E141" s="35"/>
      <c r="F141" s="35"/>
      <c r="G141" s="35"/>
      <c r="I141" s="1031"/>
      <c r="J141" s="1032"/>
      <c r="K141" s="1033"/>
      <c r="L141" s="845" t="s">
        <v>268</v>
      </c>
      <c r="M141" s="845"/>
      <c r="N141" s="847">
        <v>40187</v>
      </c>
      <c r="O141" s="847"/>
      <c r="P141" s="999"/>
      <c r="Q141" s="999"/>
      <c r="T141" s="845" t="s">
        <v>280</v>
      </c>
      <c r="U141" s="845"/>
      <c r="V141" s="845"/>
      <c r="W141" s="845"/>
      <c r="X141" s="845"/>
      <c r="Y141" s="939">
        <v>2.65</v>
      </c>
      <c r="Z141" s="940"/>
      <c r="AA141" s="33" t="s">
        <v>277</v>
      </c>
      <c r="AB141" s="1003"/>
      <c r="AC141" s="1027"/>
      <c r="AP141" s="35"/>
      <c r="AQ141" s="35"/>
    </row>
    <row r="142" spans="2:64" x14ac:dyDescent="0.25">
      <c r="I142" s="1034"/>
      <c r="J142" s="1035"/>
      <c r="K142" s="1036"/>
      <c r="L142" s="845" t="s">
        <v>269</v>
      </c>
      <c r="M142" s="845"/>
      <c r="N142" s="964"/>
      <c r="O142" s="847"/>
      <c r="P142" s="999"/>
      <c r="Q142" s="999"/>
      <c r="T142" s="845" t="s">
        <v>281</v>
      </c>
      <c r="U142" s="845"/>
      <c r="V142" s="845"/>
      <c r="W142" s="845"/>
      <c r="X142" s="845"/>
      <c r="Y142" s="939">
        <v>7.16</v>
      </c>
      <c r="Z142" s="940"/>
      <c r="AA142" s="33" t="s">
        <v>277</v>
      </c>
      <c r="AB142" s="1003">
        <f>ROUND(AVERAGE(Y142:Z144),2)</f>
        <v>6.58</v>
      </c>
      <c r="AC142" s="1027" t="s">
        <v>277</v>
      </c>
      <c r="AP142" s="35"/>
      <c r="AQ142" s="35"/>
    </row>
    <row r="143" spans="2:64" x14ac:dyDescent="0.25">
      <c r="I143" s="935" t="s">
        <v>241</v>
      </c>
      <c r="J143" s="936"/>
      <c r="K143" s="937"/>
      <c r="L143" s="845" t="s">
        <v>268</v>
      </c>
      <c r="M143" s="845"/>
      <c r="N143" s="964" t="s">
        <v>270</v>
      </c>
      <c r="O143" s="847"/>
      <c r="P143" s="999"/>
      <c r="Q143" s="999"/>
      <c r="T143" s="845" t="s">
        <v>282</v>
      </c>
      <c r="U143" s="845"/>
      <c r="V143" s="845"/>
      <c r="W143" s="845"/>
      <c r="X143" s="845"/>
      <c r="Y143" s="939">
        <v>6.41</v>
      </c>
      <c r="Z143" s="940"/>
      <c r="AA143" s="33" t="s">
        <v>277</v>
      </c>
      <c r="AB143" s="1003"/>
      <c r="AC143" s="1027"/>
      <c r="AP143" s="35"/>
      <c r="AQ143" s="35"/>
    </row>
    <row r="144" spans="2:64" x14ac:dyDescent="0.25">
      <c r="I144" s="1031"/>
      <c r="J144" s="1032"/>
      <c r="K144" s="1033"/>
      <c r="L144" s="845" t="s">
        <v>271</v>
      </c>
      <c r="M144" s="845"/>
      <c r="N144" s="964" t="s">
        <v>270</v>
      </c>
      <c r="O144" s="847"/>
      <c r="P144" s="999"/>
      <c r="Q144" s="999"/>
      <c r="T144" s="845" t="s">
        <v>283</v>
      </c>
      <c r="U144" s="845"/>
      <c r="V144" s="845"/>
      <c r="W144" s="845"/>
      <c r="X144" s="845"/>
      <c r="Y144" s="939">
        <v>6.16</v>
      </c>
      <c r="Z144" s="940"/>
      <c r="AA144" s="33" t="s">
        <v>277</v>
      </c>
      <c r="AB144" s="1003"/>
      <c r="AC144" s="1027"/>
      <c r="AP144" s="35"/>
      <c r="AQ144" s="35"/>
    </row>
    <row r="145" spans="2:41" x14ac:dyDescent="0.25">
      <c r="I145" s="1034"/>
      <c r="J145" s="1035"/>
      <c r="K145" s="1036"/>
      <c r="L145" s="845" t="s">
        <v>272</v>
      </c>
      <c r="M145" s="845"/>
      <c r="N145" s="964" t="s">
        <v>270</v>
      </c>
      <c r="O145" s="847"/>
      <c r="P145" s="999"/>
      <c r="Q145" s="999"/>
      <c r="T145" s="991" t="s">
        <v>313</v>
      </c>
      <c r="U145" s="991"/>
      <c r="V145" s="991"/>
      <c r="W145" s="991"/>
      <c r="X145" s="991"/>
      <c r="Y145" s="991"/>
      <c r="Z145" s="991"/>
      <c r="AA145" s="991"/>
      <c r="AB145" s="991"/>
      <c r="AC145" s="991"/>
    </row>
    <row r="146" spans="2:41" x14ac:dyDescent="0.25">
      <c r="I146" s="1000" t="s">
        <v>317</v>
      </c>
      <c r="J146" s="1001"/>
      <c r="K146" s="1001"/>
      <c r="L146" s="1001"/>
      <c r="M146" s="1001"/>
      <c r="N146" s="1001"/>
      <c r="O146" s="1001"/>
      <c r="P146" s="1001"/>
      <c r="Q146" s="1002"/>
      <c r="AA146" s="325"/>
    </row>
    <row r="149" spans="2:41" x14ac:dyDescent="0.25">
      <c r="B149" s="843" t="s">
        <v>495</v>
      </c>
      <c r="C149" s="843"/>
      <c r="D149" s="843"/>
      <c r="E149" s="843"/>
      <c r="F149" s="843"/>
      <c r="G149" s="843"/>
      <c r="H149" s="843"/>
      <c r="I149" s="843"/>
      <c r="M149" s="843" t="s">
        <v>496</v>
      </c>
      <c r="N149" s="843"/>
      <c r="O149" s="843"/>
      <c r="P149" s="843"/>
      <c r="Q149" s="843"/>
      <c r="R149" s="843"/>
      <c r="S149" s="843"/>
      <c r="T149" s="843"/>
      <c r="U149" s="843"/>
      <c r="Y149" s="877" t="s">
        <v>498</v>
      </c>
      <c r="Z149" s="878"/>
      <c r="AA149" s="878"/>
      <c r="AB149" s="878"/>
      <c r="AC149" s="878"/>
      <c r="AD149" s="878"/>
      <c r="AE149" s="878"/>
      <c r="AF149" s="878"/>
      <c r="AG149" s="878"/>
      <c r="AH149" s="878"/>
      <c r="AI149" s="878"/>
      <c r="AJ149" s="878"/>
      <c r="AK149" s="878"/>
      <c r="AL149" s="878"/>
      <c r="AM149" s="878"/>
      <c r="AO149" s="35"/>
    </row>
    <row r="150" spans="2:41" x14ac:dyDescent="0.25">
      <c r="B150" s="1006" t="s">
        <v>4</v>
      </c>
      <c r="C150" s="1006"/>
      <c r="D150" s="954">
        <v>2010</v>
      </c>
      <c r="E150" s="954"/>
      <c r="F150" s="954"/>
      <c r="G150" s="954"/>
      <c r="H150" s="954"/>
      <c r="I150" s="954"/>
      <c r="M150" s="845" t="s">
        <v>236</v>
      </c>
      <c r="N150" s="845"/>
      <c r="O150" s="845"/>
      <c r="P150" s="845"/>
      <c r="Q150" s="845"/>
      <c r="R150" s="845"/>
      <c r="S150" s="845"/>
      <c r="T150" s="845" t="s">
        <v>302</v>
      </c>
      <c r="U150" s="845"/>
      <c r="Y150" s="954" t="s">
        <v>4</v>
      </c>
      <c r="Z150" s="954"/>
      <c r="AA150" s="954"/>
      <c r="AB150" s="854">
        <f>Updater!E102</f>
        <v>2018</v>
      </c>
      <c r="AC150" s="855"/>
      <c r="AD150" s="855"/>
      <c r="AE150" s="855"/>
      <c r="AF150" s="855"/>
      <c r="AG150" s="855"/>
      <c r="AH150" s="855"/>
      <c r="AI150" s="855"/>
      <c r="AJ150" s="855"/>
      <c r="AK150" s="855"/>
      <c r="AL150" s="855"/>
      <c r="AM150" s="856"/>
      <c r="AO150" s="35"/>
    </row>
    <row r="151" spans="2:41" x14ac:dyDescent="0.25">
      <c r="B151" s="875" t="s">
        <v>284</v>
      </c>
      <c r="C151" s="875"/>
      <c r="D151" s="875" t="s">
        <v>285</v>
      </c>
      <c r="E151" s="875"/>
      <c r="F151" s="875"/>
      <c r="G151" s="875" t="s">
        <v>286</v>
      </c>
      <c r="H151" s="875"/>
      <c r="I151" s="875"/>
      <c r="M151" s="1007" t="s">
        <v>262</v>
      </c>
      <c r="N151" s="1007"/>
      <c r="O151" s="1007"/>
      <c r="P151" s="1007"/>
      <c r="Q151" s="1007"/>
      <c r="R151" s="1007"/>
      <c r="S151" s="1007"/>
      <c r="T151" s="1030">
        <v>0.71</v>
      </c>
      <c r="U151" s="1030"/>
      <c r="Y151" s="875"/>
      <c r="Z151" s="875"/>
      <c r="AA151" s="875"/>
      <c r="AB151" s="875" t="s">
        <v>289</v>
      </c>
      <c r="AC151" s="875"/>
      <c r="AD151" s="875" t="s">
        <v>290</v>
      </c>
      <c r="AE151" s="875"/>
      <c r="AF151" s="875" t="s">
        <v>291</v>
      </c>
      <c r="AG151" s="875"/>
      <c r="AH151" s="875" t="s">
        <v>292</v>
      </c>
      <c r="AI151" s="875"/>
      <c r="AJ151" s="875"/>
      <c r="AK151" s="875" t="s">
        <v>292</v>
      </c>
      <c r="AL151" s="875"/>
      <c r="AM151" s="875"/>
      <c r="AO151" s="35"/>
    </row>
    <row r="152" spans="2:41" x14ac:dyDescent="0.25">
      <c r="B152" s="777" t="s">
        <v>170</v>
      </c>
      <c r="C152" s="777"/>
      <c r="D152" s="777" t="s">
        <v>287</v>
      </c>
      <c r="E152" s="777"/>
      <c r="F152" s="777"/>
      <c r="G152" s="777" t="s">
        <v>287</v>
      </c>
      <c r="H152" s="777"/>
      <c r="I152" s="777"/>
      <c r="M152" s="1007" t="s">
        <v>303</v>
      </c>
      <c r="N152" s="1007"/>
      <c r="O152" s="1007"/>
      <c r="P152" s="1007"/>
      <c r="Q152" s="1007"/>
      <c r="R152" s="1007"/>
      <c r="S152" s="1007"/>
      <c r="T152" s="34">
        <v>0.73</v>
      </c>
      <c r="U152" s="1052">
        <v>0.77</v>
      </c>
      <c r="Y152" s="777"/>
      <c r="Z152" s="777"/>
      <c r="AA152" s="777"/>
      <c r="AB152" s="777" t="s">
        <v>293</v>
      </c>
      <c r="AC152" s="777"/>
      <c r="AD152" s="777" t="s">
        <v>293</v>
      </c>
      <c r="AE152" s="777"/>
      <c r="AF152" s="777" t="s">
        <v>293</v>
      </c>
      <c r="AG152" s="777"/>
      <c r="AH152" s="777" t="s">
        <v>294</v>
      </c>
      <c r="AI152" s="777"/>
      <c r="AJ152" s="777"/>
      <c r="AK152" s="777" t="s">
        <v>293</v>
      </c>
      <c r="AL152" s="777"/>
      <c r="AM152" s="777"/>
      <c r="AO152" s="35"/>
    </row>
    <row r="153" spans="2:41" x14ac:dyDescent="0.25">
      <c r="B153" s="847">
        <v>5</v>
      </c>
      <c r="C153" s="847"/>
      <c r="D153" s="1004">
        <v>0.11700000000000001</v>
      </c>
      <c r="E153" s="1004"/>
      <c r="F153" s="1004"/>
      <c r="G153" s="1004">
        <v>0.503</v>
      </c>
      <c r="H153" s="1004"/>
      <c r="I153" s="1004"/>
      <c r="M153" s="1007" t="s">
        <v>304</v>
      </c>
      <c r="N153" s="1007"/>
      <c r="O153" s="1007"/>
      <c r="P153" s="1007"/>
      <c r="Q153" s="1007"/>
      <c r="R153" s="1007"/>
      <c r="S153" s="1007"/>
      <c r="T153" s="34">
        <v>0.76</v>
      </c>
      <c r="U153" s="1052"/>
      <c r="Y153" s="845" t="s">
        <v>295</v>
      </c>
      <c r="Z153" s="845"/>
      <c r="AA153" s="845"/>
      <c r="AB153" s="847">
        <f>Updater!E105</f>
        <v>8.0100000000000005E-2</v>
      </c>
      <c r="AC153" s="847"/>
      <c r="AD153" s="847">
        <f>Updater!G105</f>
        <v>7.2499999999999995E-2</v>
      </c>
      <c r="AE153" s="847"/>
      <c r="AF153" s="847">
        <f>Updater!I105</f>
        <v>0</v>
      </c>
      <c r="AG153" s="847"/>
      <c r="AH153" s="847">
        <f>Updater!K105</f>
        <v>2268</v>
      </c>
      <c r="AI153" s="847"/>
      <c r="AJ153" s="847"/>
      <c r="AK153" s="847">
        <f>ROUND(AH153/15000,4)</f>
        <v>0.1512</v>
      </c>
      <c r="AL153" s="847"/>
      <c r="AM153" s="847"/>
      <c r="AO153" s="35"/>
    </row>
    <row r="154" spans="2:41" x14ac:dyDescent="0.25">
      <c r="B154" s="847">
        <v>10</v>
      </c>
      <c r="C154" s="847"/>
      <c r="D154" s="1004">
        <v>7.4999999999999997E-2</v>
      </c>
      <c r="E154" s="1004"/>
      <c r="F154" s="1004"/>
      <c r="G154" s="1004">
        <v>0.316</v>
      </c>
      <c r="H154" s="1004"/>
      <c r="I154" s="1004"/>
      <c r="M154" s="1007" t="s">
        <v>305</v>
      </c>
      <c r="N154" s="1007"/>
      <c r="O154" s="1007"/>
      <c r="P154" s="1007"/>
      <c r="Q154" s="1007"/>
      <c r="R154" s="1007"/>
      <c r="S154" s="1007"/>
      <c r="T154" s="34">
        <v>0.76</v>
      </c>
      <c r="U154" s="1052"/>
      <c r="Y154" s="845" t="s">
        <v>296</v>
      </c>
      <c r="Z154" s="845"/>
      <c r="AA154" s="845"/>
      <c r="AB154" s="847">
        <f>Updater!E106</f>
        <v>9.1800000000000007E-2</v>
      </c>
      <c r="AC154" s="847"/>
      <c r="AD154" s="847">
        <f>Updater!G106</f>
        <v>8.5800000000000001E-2</v>
      </c>
      <c r="AE154" s="847"/>
      <c r="AF154" s="847">
        <f>Updater!I106</f>
        <v>0</v>
      </c>
      <c r="AG154" s="847"/>
      <c r="AH154" s="847">
        <f>Updater!K106</f>
        <v>3580</v>
      </c>
      <c r="AI154" s="847"/>
      <c r="AJ154" s="847"/>
      <c r="AK154" s="847">
        <f>ROUND(AH154/15000,4)</f>
        <v>0.2387</v>
      </c>
      <c r="AL154" s="847"/>
      <c r="AM154" s="847"/>
      <c r="AO154" s="35"/>
    </row>
    <row r="155" spans="2:41" x14ac:dyDescent="0.25">
      <c r="B155" s="847">
        <v>15</v>
      </c>
      <c r="C155" s="847"/>
      <c r="D155" s="1004">
        <v>6.0999999999999999E-2</v>
      </c>
      <c r="E155" s="1004"/>
      <c r="F155" s="1004"/>
      <c r="G155" s="1004">
        <v>0.254</v>
      </c>
      <c r="H155" s="1004"/>
      <c r="I155" s="1004"/>
      <c r="M155" s="1007" t="s">
        <v>306</v>
      </c>
      <c r="N155" s="1007"/>
      <c r="O155" s="1007"/>
      <c r="P155" s="1007"/>
      <c r="Q155" s="1007"/>
      <c r="R155" s="1007"/>
      <c r="S155" s="1007"/>
      <c r="T155" s="34">
        <v>0.81</v>
      </c>
      <c r="U155" s="1052"/>
      <c r="Y155" s="845" t="s">
        <v>297</v>
      </c>
      <c r="Z155" s="845"/>
      <c r="AA155" s="845"/>
      <c r="AB155" s="847">
        <f>Updater!E107</f>
        <v>0.12189999999999999</v>
      </c>
      <c r="AC155" s="847"/>
      <c r="AD155" s="847">
        <f>Updater!G107</f>
        <v>8.7999999999999995E-2</v>
      </c>
      <c r="AE155" s="847"/>
      <c r="AF155" s="847">
        <f>Updater!I107</f>
        <v>0</v>
      </c>
      <c r="AG155" s="847"/>
      <c r="AH155" s="847">
        <f>Updater!K107</f>
        <v>3893</v>
      </c>
      <c r="AI155" s="847"/>
      <c r="AJ155" s="847"/>
      <c r="AK155" s="847">
        <f>ROUND(AH155/15000,4)</f>
        <v>0.25950000000000001</v>
      </c>
      <c r="AL155" s="847"/>
      <c r="AM155" s="847"/>
    </row>
    <row r="156" spans="2:41" x14ac:dyDescent="0.25">
      <c r="B156" s="847">
        <v>20</v>
      </c>
      <c r="C156" s="847"/>
      <c r="D156" s="1004">
        <v>5.3999999999999999E-2</v>
      </c>
      <c r="E156" s="1004"/>
      <c r="F156" s="1004"/>
      <c r="G156" s="1004">
        <v>0.222</v>
      </c>
      <c r="H156" s="1004"/>
      <c r="I156" s="1004"/>
      <c r="M156" s="991" t="s">
        <v>320</v>
      </c>
      <c r="N156" s="991"/>
      <c r="O156" s="991"/>
      <c r="P156" s="991"/>
      <c r="Q156" s="991"/>
      <c r="R156" s="991"/>
      <c r="S156" s="991"/>
      <c r="T156" s="991"/>
      <c r="U156" s="991"/>
      <c r="Y156" s="845" t="s">
        <v>298</v>
      </c>
      <c r="Z156" s="845"/>
      <c r="AA156" s="845"/>
      <c r="AB156" s="847">
        <f>Updater!E108</f>
        <v>0.12429999999999999</v>
      </c>
      <c r="AC156" s="847"/>
      <c r="AD156" s="847">
        <f>Updater!G108</f>
        <v>8.6599999999999996E-2</v>
      </c>
      <c r="AE156" s="847"/>
      <c r="AF156" s="847">
        <f>Updater!I108</f>
        <v>0</v>
      </c>
      <c r="AG156" s="847"/>
      <c r="AH156" s="847">
        <f>Updater!K108</f>
        <v>3714</v>
      </c>
      <c r="AI156" s="847"/>
      <c r="AJ156" s="847"/>
      <c r="AK156" s="847">
        <f>ROUND(AH156/15000,4)</f>
        <v>0.24759999999999999</v>
      </c>
      <c r="AL156" s="847"/>
      <c r="AM156" s="847"/>
    </row>
    <row r="157" spans="2:41" ht="15.75" thickBot="1" x14ac:dyDescent="0.3">
      <c r="B157" s="847">
        <v>25</v>
      </c>
      <c r="C157" s="847"/>
      <c r="D157" s="1004">
        <v>0.05</v>
      </c>
      <c r="E157" s="1004"/>
      <c r="F157" s="1004"/>
      <c r="G157" s="1004">
        <v>0.20399999999999999</v>
      </c>
      <c r="H157" s="1004"/>
      <c r="I157" s="1004"/>
      <c r="Y157" s="1009" t="s">
        <v>299</v>
      </c>
      <c r="Z157" s="1009"/>
      <c r="AA157" s="1009"/>
      <c r="AB157" s="1010">
        <f>Updater!E109</f>
        <v>0.1187</v>
      </c>
      <c r="AC157" s="1010"/>
      <c r="AD157" s="1010">
        <f>Updater!G109</f>
        <v>8.2299999999999998E-2</v>
      </c>
      <c r="AE157" s="1010"/>
      <c r="AF157" s="1010">
        <f>Updater!I109</f>
        <v>0</v>
      </c>
      <c r="AG157" s="1010"/>
      <c r="AH157" s="1010">
        <f>Updater!K109</f>
        <v>4003</v>
      </c>
      <c r="AI157" s="1010"/>
      <c r="AJ157" s="1010"/>
      <c r="AK157" s="1010">
        <f>ROUND(AH157/15000,4)</f>
        <v>0.26690000000000003</v>
      </c>
      <c r="AL157" s="1010"/>
      <c r="AM157" s="1010"/>
    </row>
    <row r="158" spans="2:41" x14ac:dyDescent="0.25">
      <c r="B158" s="847">
        <v>30</v>
      </c>
      <c r="C158" s="847"/>
      <c r="D158" s="1004">
        <v>4.7E-2</v>
      </c>
      <c r="E158" s="1004"/>
      <c r="F158" s="1004"/>
      <c r="G158" s="1004">
        <v>0.191</v>
      </c>
      <c r="H158" s="1004"/>
      <c r="I158" s="1004"/>
      <c r="Y158" s="777" t="s">
        <v>300</v>
      </c>
      <c r="Z158" s="777"/>
      <c r="AA158" s="777"/>
      <c r="AB158" s="941">
        <f>ROUND(AVERAGE(AB153:AC157),5)</f>
        <v>0.10736</v>
      </c>
      <c r="AC158" s="941"/>
      <c r="AD158" s="941">
        <f>ROUND(AVERAGE(AD153:AE157),5)</f>
        <v>8.3040000000000003E-2</v>
      </c>
      <c r="AE158" s="941"/>
      <c r="AF158" s="941">
        <f>ROUND(AVERAGE(AF153:AG157),5)</f>
        <v>0</v>
      </c>
      <c r="AG158" s="941"/>
      <c r="AH158" s="1005" t="s">
        <v>270</v>
      </c>
      <c r="AI158" s="941"/>
      <c r="AJ158" s="941"/>
      <c r="AK158" s="941">
        <f>ROUND(AVERAGE(AK153:AM157),4)</f>
        <v>0.23280000000000001</v>
      </c>
      <c r="AL158" s="941"/>
      <c r="AM158" s="941"/>
    </row>
    <row r="159" spans="2:41" x14ac:dyDescent="0.25">
      <c r="B159" s="847">
        <v>35</v>
      </c>
      <c r="C159" s="847"/>
      <c r="D159" s="1004">
        <v>4.4999999999999998E-2</v>
      </c>
      <c r="E159" s="1004"/>
      <c r="F159" s="1004"/>
      <c r="G159" s="1004">
        <v>0.182</v>
      </c>
      <c r="H159" s="1004"/>
      <c r="I159" s="1004"/>
      <c r="Y159" s="845" t="s">
        <v>301</v>
      </c>
      <c r="Z159" s="845"/>
      <c r="AA159" s="845"/>
      <c r="AB159" s="876">
        <f>ROUND(AB158+AD158+AF158+AK158,2)</f>
        <v>0.42</v>
      </c>
      <c r="AC159" s="876"/>
      <c r="AD159" s="876"/>
      <c r="AE159" s="876"/>
      <c r="AF159" s="876"/>
      <c r="AG159" s="876"/>
      <c r="AH159" s="876"/>
      <c r="AI159" s="876"/>
      <c r="AJ159" s="876"/>
      <c r="AK159" s="876"/>
      <c r="AL159" s="876"/>
      <c r="AM159" s="876"/>
    </row>
    <row r="160" spans="2:41" x14ac:dyDescent="0.25">
      <c r="B160" s="847">
        <v>40</v>
      </c>
      <c r="C160" s="847"/>
      <c r="D160" s="1004">
        <v>4.3999999999999997E-2</v>
      </c>
      <c r="E160" s="1004"/>
      <c r="F160" s="1004"/>
      <c r="G160" s="1004">
        <v>0.17599999999999999</v>
      </c>
      <c r="H160" s="1004"/>
      <c r="I160" s="1004"/>
      <c r="L160" s="843" t="s">
        <v>497</v>
      </c>
      <c r="M160" s="843"/>
      <c r="N160" s="843"/>
      <c r="O160" s="843"/>
      <c r="P160" s="843"/>
      <c r="Q160" s="843"/>
      <c r="R160" s="843"/>
      <c r="S160" s="843"/>
      <c r="T160" s="843"/>
      <c r="U160" s="843"/>
      <c r="V160" s="843"/>
      <c r="Y160" s="848" t="s">
        <v>1195</v>
      </c>
      <c r="Z160" s="848"/>
      <c r="AA160" s="848"/>
      <c r="AB160" s="848"/>
      <c r="AC160" s="848"/>
      <c r="AD160" s="848"/>
      <c r="AE160" s="848"/>
      <c r="AF160" s="848"/>
      <c r="AG160" s="848"/>
      <c r="AH160" s="848"/>
      <c r="AI160" s="848"/>
      <c r="AJ160" s="848"/>
      <c r="AK160" s="848"/>
      <c r="AL160" s="848"/>
      <c r="AM160" s="848"/>
      <c r="AN160" s="35"/>
    </row>
    <row r="161" spans="2:40" x14ac:dyDescent="0.25">
      <c r="B161" s="847">
        <v>45</v>
      </c>
      <c r="C161" s="847"/>
      <c r="D161" s="1004">
        <v>4.2000000000000003E-2</v>
      </c>
      <c r="E161" s="1004"/>
      <c r="F161" s="1004"/>
      <c r="G161" s="1004">
        <v>0.17</v>
      </c>
      <c r="H161" s="1004"/>
      <c r="I161" s="1004"/>
      <c r="L161" s="854" t="s">
        <v>4</v>
      </c>
      <c r="M161" s="856"/>
      <c r="N161" s="854">
        <f>Updater!D94</f>
        <v>2017</v>
      </c>
      <c r="O161" s="855"/>
      <c r="P161" s="855"/>
      <c r="Q161" s="855"/>
      <c r="R161" s="855"/>
      <c r="S161" s="855"/>
      <c r="T161" s="855"/>
      <c r="U161" s="855"/>
      <c r="V161" s="856"/>
      <c r="AL161" s="35"/>
      <c r="AM161" s="35"/>
      <c r="AN161" s="35"/>
    </row>
    <row r="162" spans="2:40" x14ac:dyDescent="0.25">
      <c r="B162" s="847">
        <v>50</v>
      </c>
      <c r="C162" s="847"/>
      <c r="D162" s="1004">
        <v>4.1000000000000002E-2</v>
      </c>
      <c r="E162" s="1004"/>
      <c r="F162" s="1004"/>
      <c r="G162" s="1004">
        <v>0.16600000000000001</v>
      </c>
      <c r="H162" s="1004"/>
      <c r="I162" s="1004"/>
      <c r="L162" s="875"/>
      <c r="M162" s="875"/>
      <c r="N162" s="875" t="s">
        <v>289</v>
      </c>
      <c r="O162" s="875"/>
      <c r="P162" s="875" t="s">
        <v>307</v>
      </c>
      <c r="Q162" s="875"/>
      <c r="R162" s="875" t="s">
        <v>291</v>
      </c>
      <c r="S162" s="875"/>
      <c r="T162" s="875" t="s">
        <v>292</v>
      </c>
      <c r="U162" s="875"/>
      <c r="V162" s="875"/>
      <c r="AH162" s="843" t="s">
        <v>499</v>
      </c>
      <c r="AI162" s="843"/>
      <c r="AJ162" s="843"/>
      <c r="AK162" s="843"/>
      <c r="AL162" s="843"/>
      <c r="AM162" s="843"/>
      <c r="AN162" s="35"/>
    </row>
    <row r="163" spans="2:40" x14ac:dyDescent="0.25">
      <c r="B163" s="847">
        <v>55</v>
      </c>
      <c r="C163" s="847"/>
      <c r="D163" s="1004">
        <v>4.1000000000000002E-2</v>
      </c>
      <c r="E163" s="1004"/>
      <c r="F163" s="1004"/>
      <c r="G163" s="1004">
        <v>0.16300000000000001</v>
      </c>
      <c r="H163" s="1004"/>
      <c r="I163" s="1004"/>
      <c r="L163" s="777"/>
      <c r="M163" s="777"/>
      <c r="N163" s="777" t="s">
        <v>293</v>
      </c>
      <c r="O163" s="777"/>
      <c r="P163" s="777" t="s">
        <v>293</v>
      </c>
      <c r="Q163" s="777"/>
      <c r="R163" s="777" t="s">
        <v>293</v>
      </c>
      <c r="S163" s="777"/>
      <c r="T163" s="777" t="s">
        <v>293</v>
      </c>
      <c r="U163" s="777"/>
      <c r="V163" s="777"/>
      <c r="AH163" s="852" t="s">
        <v>4</v>
      </c>
      <c r="AI163" s="852"/>
      <c r="AJ163" s="852"/>
      <c r="AK163" s="853">
        <f>Updater!E115</f>
        <v>2019</v>
      </c>
      <c r="AL163" s="853"/>
      <c r="AM163" s="853"/>
      <c r="AN163" s="35"/>
    </row>
    <row r="164" spans="2:40" x14ac:dyDescent="0.25">
      <c r="B164" s="847">
        <v>60</v>
      </c>
      <c r="C164" s="847"/>
      <c r="D164" s="1004">
        <v>0.04</v>
      </c>
      <c r="E164" s="1004"/>
      <c r="F164" s="1004"/>
      <c r="G164" s="1004">
        <v>0.16</v>
      </c>
      <c r="H164" s="1004"/>
      <c r="I164" s="1004"/>
      <c r="L164" s="613" t="s">
        <v>286</v>
      </c>
      <c r="M164" s="614"/>
      <c r="N164" s="891">
        <f>Updater!D97</f>
        <v>0.33600000000000002</v>
      </c>
      <c r="O164" s="892"/>
      <c r="P164" s="891">
        <f>Updater!F97</f>
        <v>0.16300000000000001</v>
      </c>
      <c r="Q164" s="892"/>
      <c r="R164" s="891">
        <f>Updater!H97</f>
        <v>3.1E-2</v>
      </c>
      <c r="S164" s="892"/>
      <c r="T164" s="895">
        <f>Updater!J97</f>
        <v>7.0000000000000007E-2</v>
      </c>
      <c r="U164" s="896"/>
      <c r="V164" s="897"/>
      <c r="AH164" s="845" t="s">
        <v>309</v>
      </c>
      <c r="AI164" s="845"/>
      <c r="AJ164" s="845"/>
      <c r="AK164" s="845" t="s">
        <v>310</v>
      </c>
      <c r="AL164" s="845"/>
      <c r="AM164" s="845"/>
      <c r="AN164" s="35"/>
    </row>
    <row r="165" spans="2:40" x14ac:dyDescent="0.25">
      <c r="B165" s="847">
        <v>65</v>
      </c>
      <c r="C165" s="847"/>
      <c r="D165" s="1004">
        <v>3.9E-2</v>
      </c>
      <c r="E165" s="1004"/>
      <c r="F165" s="1004"/>
      <c r="G165" s="1004">
        <v>0.158</v>
      </c>
      <c r="H165" s="1004"/>
      <c r="I165" s="1004"/>
      <c r="L165" s="845" t="s">
        <v>301</v>
      </c>
      <c r="M165" s="845"/>
      <c r="N165" s="876">
        <f>ROUND(N164+P164+R164+T164,2)</f>
        <v>0.6</v>
      </c>
      <c r="O165" s="876"/>
      <c r="P165" s="876"/>
      <c r="Q165" s="876"/>
      <c r="R165" s="876"/>
      <c r="S165" s="876"/>
      <c r="T165" s="876"/>
      <c r="U165" s="876"/>
      <c r="V165" s="876"/>
      <c r="AH165" s="1008">
        <f>Updater!B117</f>
        <v>3</v>
      </c>
      <c r="AI165" s="1008"/>
      <c r="AJ165" s="1008"/>
      <c r="AK165" s="1008">
        <f>Updater!E117</f>
        <v>3.5</v>
      </c>
      <c r="AL165" s="1008"/>
      <c r="AM165" s="1008"/>
      <c r="AN165" s="35"/>
    </row>
    <row r="166" spans="2:40" x14ac:dyDescent="0.25">
      <c r="B166" s="991" t="s">
        <v>288</v>
      </c>
      <c r="C166" s="991"/>
      <c r="D166" s="991"/>
      <c r="E166" s="991"/>
      <c r="F166" s="991"/>
      <c r="G166" s="991"/>
      <c r="H166" s="991"/>
      <c r="I166" s="991"/>
      <c r="L166" s="1051" t="s">
        <v>308</v>
      </c>
      <c r="M166" s="1051"/>
      <c r="N166" s="1051"/>
      <c r="O166" s="1051"/>
      <c r="P166" s="1051"/>
      <c r="Q166" s="1051"/>
      <c r="R166" s="1051"/>
      <c r="S166" s="1051"/>
      <c r="T166" s="1051"/>
      <c r="U166" s="1051"/>
      <c r="V166" s="1051"/>
      <c r="AH166" s="851" t="s">
        <v>324</v>
      </c>
      <c r="AI166" s="851"/>
      <c r="AJ166" s="851"/>
      <c r="AK166" s="851"/>
      <c r="AL166" s="851"/>
      <c r="AM166" s="851"/>
    </row>
    <row r="167" spans="2:40" x14ac:dyDescent="0.25">
      <c r="H167" s="39"/>
      <c r="L167" s="872" t="s">
        <v>938</v>
      </c>
      <c r="M167" s="872"/>
      <c r="N167" s="872"/>
      <c r="O167" s="872"/>
      <c r="P167" s="872"/>
      <c r="Q167" s="872"/>
      <c r="R167" s="872"/>
      <c r="S167" s="872"/>
      <c r="T167" s="872"/>
      <c r="U167" s="872"/>
      <c r="V167" s="872"/>
    </row>
    <row r="168" spans="2:40" x14ac:dyDescent="0.25">
      <c r="S168" s="35"/>
      <c r="T168" s="35"/>
      <c r="U168" s="35"/>
      <c r="V168" s="35"/>
      <c r="W168" s="35"/>
      <c r="X168" s="35"/>
      <c r="Y168" s="35"/>
      <c r="Z168" s="35"/>
      <c r="AA168" s="35"/>
      <c r="AB168" s="35"/>
      <c r="AC168" s="35"/>
    </row>
    <row r="169" spans="2:40" x14ac:dyDescent="0.25">
      <c r="B169" s="843" t="s">
        <v>830</v>
      </c>
      <c r="C169" s="843"/>
      <c r="D169" s="843"/>
      <c r="E169" s="843"/>
      <c r="F169" s="843"/>
      <c r="G169" s="843"/>
      <c r="H169" s="843"/>
      <c r="I169" s="843"/>
      <c r="K169" s="843" t="s">
        <v>960</v>
      </c>
      <c r="L169" s="843"/>
      <c r="M169" s="843"/>
      <c r="N169" s="843"/>
      <c r="O169" s="843"/>
      <c r="P169" s="843"/>
      <c r="Q169" s="843"/>
      <c r="R169" s="843"/>
      <c r="S169" s="35"/>
      <c r="T169" s="843" t="s">
        <v>972</v>
      </c>
      <c r="U169" s="843"/>
      <c r="V169" s="843"/>
      <c r="W169" s="843"/>
      <c r="X169" s="843"/>
      <c r="Y169" s="843"/>
      <c r="Z169" s="843"/>
      <c r="AA169" s="843"/>
      <c r="AB169" s="843"/>
      <c r="AC169" s="843"/>
      <c r="AD169" s="843"/>
      <c r="AE169" s="843"/>
      <c r="AF169" s="843"/>
      <c r="AG169" s="843"/>
      <c r="AH169" s="843"/>
      <c r="AI169" s="843"/>
    </row>
    <row r="170" spans="2:40" x14ac:dyDescent="0.25">
      <c r="B170" s="845" t="s">
        <v>822</v>
      </c>
      <c r="C170" s="845"/>
      <c r="D170" s="845" t="s">
        <v>831</v>
      </c>
      <c r="E170" s="845"/>
      <c r="F170" s="845"/>
      <c r="G170" s="845"/>
      <c r="H170" s="845"/>
      <c r="I170" s="845"/>
      <c r="K170" s="845" t="s">
        <v>822</v>
      </c>
      <c r="L170" s="845"/>
      <c r="M170" s="845" t="s">
        <v>831</v>
      </c>
      <c r="N170" s="845"/>
      <c r="O170" s="845"/>
      <c r="P170" s="845"/>
      <c r="Q170" s="845"/>
      <c r="R170" s="845"/>
      <c r="S170" s="35"/>
      <c r="T170" s="845" t="s">
        <v>822</v>
      </c>
      <c r="U170" s="845"/>
      <c r="V170" s="846" t="s">
        <v>973</v>
      </c>
      <c r="W170" s="846"/>
      <c r="X170" s="846" t="s">
        <v>974</v>
      </c>
      <c r="Y170" s="846"/>
      <c r="Z170" s="846" t="s">
        <v>279</v>
      </c>
      <c r="AA170" s="846"/>
      <c r="AB170" s="846" t="s">
        <v>280</v>
      </c>
      <c r="AC170" s="846"/>
      <c r="AD170" s="846" t="s">
        <v>975</v>
      </c>
      <c r="AE170" s="846"/>
      <c r="AF170" s="846" t="s">
        <v>976</v>
      </c>
      <c r="AG170" s="846"/>
      <c r="AH170" s="846" t="s">
        <v>977</v>
      </c>
      <c r="AI170" s="846"/>
      <c r="AJ170" s="606"/>
      <c r="AK170" s="607"/>
      <c r="AN170" s="35"/>
    </row>
    <row r="171" spans="2:40" x14ac:dyDescent="0.25">
      <c r="B171" s="847">
        <v>1993</v>
      </c>
      <c r="C171" s="847"/>
      <c r="D171" s="1004">
        <f>IF(ISBLANK(Updater!D122),"",Updater!D122)</f>
        <v>144.5</v>
      </c>
      <c r="E171" s="1004"/>
      <c r="F171" s="1004"/>
      <c r="G171" s="1004"/>
      <c r="H171" s="1004"/>
      <c r="I171" s="1004"/>
      <c r="K171" s="847">
        <v>1993</v>
      </c>
      <c r="L171" s="847"/>
      <c r="M171" s="1004">
        <f>IF(ISBLANK(Updater!D152),"",Updater!D152)</f>
        <v>93.786000000000001</v>
      </c>
      <c r="N171" s="1004"/>
      <c r="O171" s="1004"/>
      <c r="P171" s="1004"/>
      <c r="Q171" s="1004"/>
      <c r="R171" s="1004"/>
      <c r="S171" s="35"/>
      <c r="T171" s="847">
        <v>1993</v>
      </c>
      <c r="U171" s="847"/>
      <c r="V171" s="844" t="str">
        <f>IF(ISBLANK(Updater!D183),"",Updater!D183)</f>
        <v>-</v>
      </c>
      <c r="W171" s="844"/>
      <c r="X171" s="844" t="str">
        <f>IF(ISBLANK(Updater!F183),"",Updater!F183)</f>
        <v>-</v>
      </c>
      <c r="Y171" s="844"/>
      <c r="Z171" s="844" t="str">
        <f>IF(ISBLANK(Updater!H183),"",Updater!H183)</f>
        <v>-</v>
      </c>
      <c r="AA171" s="844"/>
      <c r="AB171" s="844" t="str">
        <f>IF(ISBLANK(Updater!J183),"",Updater!J183)</f>
        <v>-</v>
      </c>
      <c r="AC171" s="844"/>
      <c r="AD171" s="844" t="str">
        <f>IF(ISBLANK(Updater!L183),"",Updater!L183)</f>
        <v>-</v>
      </c>
      <c r="AE171" s="844"/>
      <c r="AF171" s="844" t="str">
        <f>IF(ISBLANK(Updater!N183),"",Updater!N183)</f>
        <v>-</v>
      </c>
      <c r="AG171" s="844"/>
      <c r="AH171" s="844" t="str">
        <f>IF(ISBLANK(Updater!P183),"",Updater!P183)</f>
        <v>-</v>
      </c>
      <c r="AI171" s="844"/>
    </row>
    <row r="172" spans="2:40" x14ac:dyDescent="0.25">
      <c r="B172" s="847">
        <v>1995</v>
      </c>
      <c r="C172" s="847"/>
      <c r="D172" s="1004">
        <f>IF(ISBLANK(Updater!D123),"",Updater!D123)</f>
        <v>152.4</v>
      </c>
      <c r="E172" s="1004"/>
      <c r="F172" s="1004"/>
      <c r="G172" s="1004"/>
      <c r="H172" s="1004"/>
      <c r="I172" s="1004"/>
      <c r="K172" s="847">
        <v>1995</v>
      </c>
      <c r="L172" s="847"/>
      <c r="M172" s="1004" t="str">
        <f>IF(ISBLANK(Updater!D153),"",Updater!D153)</f>
        <v>-</v>
      </c>
      <c r="N172" s="1004"/>
      <c r="O172" s="1004"/>
      <c r="P172" s="1004"/>
      <c r="Q172" s="1004"/>
      <c r="R172" s="1004"/>
      <c r="S172" s="35"/>
      <c r="T172" s="847">
        <v>1995</v>
      </c>
      <c r="U172" s="847"/>
      <c r="V172" s="844">
        <f>IF(ISBLANK(Updater!D184),"",Updater!D184)</f>
        <v>134.1</v>
      </c>
      <c r="W172" s="844"/>
      <c r="X172" s="844">
        <f>IF(ISBLANK(Updater!F184),"",Updater!F184)</f>
        <v>159</v>
      </c>
      <c r="Y172" s="844"/>
      <c r="Z172" s="844">
        <f>IF(ISBLANK(Updater!H184),"",Updater!H184)</f>
        <v>144.1</v>
      </c>
      <c r="AA172" s="844"/>
      <c r="AB172" s="844">
        <f>IF(ISBLANK(Updater!J184),"",Updater!J184)</f>
        <v>144.1</v>
      </c>
      <c r="AC172" s="844"/>
      <c r="AD172" s="844">
        <f>IF(ISBLANK(Updater!L184),"",Updater!L184)</f>
        <v>124.5</v>
      </c>
      <c r="AE172" s="844"/>
      <c r="AF172" s="844">
        <f>IF(ISBLANK(Updater!N184),"",Updater!N184)</f>
        <v>124.5</v>
      </c>
      <c r="AG172" s="844"/>
      <c r="AH172" s="844">
        <f>IF(ISBLANK(Updater!P184),"",Updater!P184)</f>
        <v>124.5</v>
      </c>
      <c r="AI172" s="844"/>
    </row>
    <row r="173" spans="2:40" x14ac:dyDescent="0.25">
      <c r="B173" s="847">
        <v>2009</v>
      </c>
      <c r="C173" s="847"/>
      <c r="D173" s="1004">
        <f>IF(ISBLANK(Updater!D124),"",Updater!D124)</f>
        <v>214.53700000000001</v>
      </c>
      <c r="E173" s="1004"/>
      <c r="F173" s="1004"/>
      <c r="G173" s="1004"/>
      <c r="H173" s="1004"/>
      <c r="I173" s="1004"/>
      <c r="K173" s="847">
        <v>2009</v>
      </c>
      <c r="L173" s="847"/>
      <c r="M173" s="1004" t="str">
        <f>IF(ISBLANK(Updater!D154),"",Updater!D154)</f>
        <v>-</v>
      </c>
      <c r="N173" s="1004"/>
      <c r="O173" s="1004"/>
      <c r="P173" s="1004"/>
      <c r="Q173" s="1004"/>
      <c r="R173" s="1004"/>
      <c r="S173" s="35"/>
      <c r="T173" s="847">
        <v>2009</v>
      </c>
      <c r="U173" s="847"/>
      <c r="V173" s="844" t="str">
        <f>IF(ISBLANK(Updater!D185),"",Updater!D185)</f>
        <v>-</v>
      </c>
      <c r="W173" s="844"/>
      <c r="X173" s="844" t="str">
        <f>IF(ISBLANK(Updater!F185),"",Updater!F185)</f>
        <v>-</v>
      </c>
      <c r="Y173" s="844"/>
      <c r="Z173" s="844" t="str">
        <f>IF(ISBLANK(Updater!H185),"",Updater!H185)</f>
        <v>-</v>
      </c>
      <c r="AA173" s="844"/>
      <c r="AB173" s="844" t="str">
        <f>IF(ISBLANK(Updater!J185),"",Updater!J185)</f>
        <v>-</v>
      </c>
      <c r="AC173" s="844"/>
      <c r="AD173" s="844" t="str">
        <f>IF(ISBLANK(Updater!L185),"",Updater!L185)</f>
        <v>-</v>
      </c>
      <c r="AE173" s="844"/>
      <c r="AF173" s="844" t="str">
        <f>IF(ISBLANK(Updater!N185),"",Updater!N185)</f>
        <v>-</v>
      </c>
      <c r="AG173" s="844"/>
      <c r="AH173" s="844" t="str">
        <f>IF(ISBLANK(Updater!P185),"",Updater!P185)</f>
        <v>-</v>
      </c>
      <c r="AI173" s="844"/>
    </row>
    <row r="174" spans="2:40" x14ac:dyDescent="0.25">
      <c r="B174" s="847">
        <v>2010</v>
      </c>
      <c r="C174" s="847"/>
      <c r="D174" s="1004">
        <f>IF(ISBLANK(Updater!D125),"",Updater!D125)</f>
        <v>218.05600000000001</v>
      </c>
      <c r="E174" s="1004"/>
      <c r="F174" s="1004"/>
      <c r="G174" s="1004"/>
      <c r="H174" s="1004"/>
      <c r="I174" s="1004"/>
      <c r="K174" s="847">
        <v>2010</v>
      </c>
      <c r="L174" s="847"/>
      <c r="M174" s="1004" t="str">
        <f>IF(ISBLANK(Updater!D155),"",Updater!D155)</f>
        <v>-</v>
      </c>
      <c r="N174" s="1004"/>
      <c r="O174" s="1004"/>
      <c r="P174" s="1004"/>
      <c r="Q174" s="1004"/>
      <c r="R174" s="1004"/>
      <c r="S174" s="35"/>
      <c r="T174" s="847">
        <v>2010</v>
      </c>
      <c r="U174" s="847"/>
      <c r="V174" s="844" t="str">
        <f>IF(ISBLANK(Updater!D186),"",Updater!D186)</f>
        <v>-</v>
      </c>
      <c r="W174" s="844"/>
      <c r="X174" s="844" t="str">
        <f>IF(ISBLANK(Updater!F186),"",Updater!F186)</f>
        <v>-</v>
      </c>
      <c r="Y174" s="844"/>
      <c r="Z174" s="844" t="str">
        <f>IF(ISBLANK(Updater!H186),"",Updater!H186)</f>
        <v>-</v>
      </c>
      <c r="AA174" s="844"/>
      <c r="AB174" s="844" t="str">
        <f>IF(ISBLANK(Updater!J186),"",Updater!J186)</f>
        <v>-</v>
      </c>
      <c r="AC174" s="844"/>
      <c r="AD174" s="844" t="str">
        <f>IF(ISBLANK(Updater!L186),"",Updater!L186)</f>
        <v>-</v>
      </c>
      <c r="AE174" s="844"/>
      <c r="AF174" s="844" t="str">
        <f>IF(ISBLANK(Updater!N186),"",Updater!N186)</f>
        <v>-</v>
      </c>
      <c r="AG174" s="844"/>
      <c r="AH174" s="844" t="str">
        <f>IF(ISBLANK(Updater!P186),"",Updater!P186)</f>
        <v>-</v>
      </c>
      <c r="AI174" s="844"/>
    </row>
    <row r="175" spans="2:40" x14ac:dyDescent="0.25">
      <c r="B175" s="847">
        <v>2011</v>
      </c>
      <c r="C175" s="847"/>
      <c r="D175" s="1004">
        <f>IF(ISBLANK(Updater!D126),"",Updater!D126)</f>
        <v>224.93899999999999</v>
      </c>
      <c r="E175" s="1004"/>
      <c r="F175" s="1004"/>
      <c r="G175" s="1004"/>
      <c r="H175" s="1004"/>
      <c r="I175" s="1004"/>
      <c r="K175" s="847">
        <v>2011</v>
      </c>
      <c r="L175" s="847"/>
      <c r="M175" s="1004" t="str">
        <f>IF(ISBLANK(Updater!D156),"",Updater!D156)</f>
        <v>-</v>
      </c>
      <c r="N175" s="1004"/>
      <c r="O175" s="1004"/>
      <c r="P175" s="1004"/>
      <c r="Q175" s="1004"/>
      <c r="R175" s="1004"/>
      <c r="S175" s="35"/>
      <c r="T175" s="847">
        <v>2011</v>
      </c>
      <c r="U175" s="847"/>
      <c r="V175" s="844" t="str">
        <f>IF(ISBLANK(Updater!D187),"",Updater!D187)</f>
        <v>-</v>
      </c>
      <c r="W175" s="844"/>
      <c r="X175" s="844" t="str">
        <f>IF(ISBLANK(Updater!F187),"",Updater!F187)</f>
        <v>-</v>
      </c>
      <c r="Y175" s="844"/>
      <c r="Z175" s="844" t="str">
        <f>IF(ISBLANK(Updater!H187),"",Updater!H187)</f>
        <v>-</v>
      </c>
      <c r="AA175" s="844"/>
      <c r="AB175" s="844" t="str">
        <f>IF(ISBLANK(Updater!J187),"",Updater!J187)</f>
        <v>-</v>
      </c>
      <c r="AC175" s="844"/>
      <c r="AD175" s="844" t="str">
        <f>IF(ISBLANK(Updater!L187),"",Updater!L187)</f>
        <v>-</v>
      </c>
      <c r="AE175" s="844"/>
      <c r="AF175" s="844" t="str">
        <f>IF(ISBLANK(Updater!N187),"",Updater!N187)</f>
        <v>-</v>
      </c>
      <c r="AG175" s="844"/>
      <c r="AH175" s="844" t="str">
        <f>IF(ISBLANK(Updater!P187),"",Updater!P187)</f>
        <v>-</v>
      </c>
      <c r="AI175" s="844"/>
    </row>
    <row r="176" spans="2:40" x14ac:dyDescent="0.25">
      <c r="B176" s="847">
        <v>2012</v>
      </c>
      <c r="C176" s="847"/>
      <c r="D176" s="1004">
        <f>IF(ISBLANK(Updater!D127),"",Updater!D127)</f>
        <v>229.59399999999999</v>
      </c>
      <c r="E176" s="1004"/>
      <c r="F176" s="1004"/>
      <c r="G176" s="1004"/>
      <c r="H176" s="1004"/>
      <c r="I176" s="1004"/>
      <c r="K176" s="847">
        <v>2012</v>
      </c>
      <c r="L176" s="847"/>
      <c r="M176" s="1004" t="str">
        <f>IF(ISBLANK(Updater!D157),"",Updater!D157)</f>
        <v>-</v>
      </c>
      <c r="N176" s="1004"/>
      <c r="O176" s="1004"/>
      <c r="P176" s="1004"/>
      <c r="Q176" s="1004"/>
      <c r="R176" s="1004"/>
      <c r="S176" s="35"/>
      <c r="T176" s="847">
        <v>2012</v>
      </c>
      <c r="U176" s="847"/>
      <c r="V176" s="844" t="str">
        <f>IF(ISBLANK(Updater!D188),"",Updater!D188)</f>
        <v>-</v>
      </c>
      <c r="W176" s="844"/>
      <c r="X176" s="844" t="str">
        <f>IF(ISBLANK(Updater!F188),"",Updater!F188)</f>
        <v>-</v>
      </c>
      <c r="Y176" s="844"/>
      <c r="Z176" s="844" t="str">
        <f>IF(ISBLANK(Updater!H188),"",Updater!H188)</f>
        <v>-</v>
      </c>
      <c r="AA176" s="844"/>
      <c r="AB176" s="844" t="str">
        <f>IF(ISBLANK(Updater!J188),"",Updater!J188)</f>
        <v>-</v>
      </c>
      <c r="AC176" s="844"/>
      <c r="AD176" s="844" t="str">
        <f>IF(ISBLANK(Updater!L188),"",Updater!L188)</f>
        <v>-</v>
      </c>
      <c r="AE176" s="844"/>
      <c r="AF176" s="844" t="str">
        <f>IF(ISBLANK(Updater!N188),"",Updater!N188)</f>
        <v>-</v>
      </c>
      <c r="AG176" s="844"/>
      <c r="AH176" s="844" t="str">
        <f>IF(ISBLANK(Updater!P188),"",Updater!P188)</f>
        <v>-</v>
      </c>
      <c r="AI176" s="844"/>
    </row>
    <row r="177" spans="2:35" x14ac:dyDescent="0.25">
      <c r="B177" s="847">
        <v>2013</v>
      </c>
      <c r="C177" s="847"/>
      <c r="D177" s="1004">
        <f>IF(ISBLANK(Updater!D128),"",Updater!D128)</f>
        <v>230.28</v>
      </c>
      <c r="E177" s="1004"/>
      <c r="F177" s="1004"/>
      <c r="G177" s="1004"/>
      <c r="H177" s="1004"/>
      <c r="I177" s="1004"/>
      <c r="K177" s="847">
        <v>2013</v>
      </c>
      <c r="L177" s="847"/>
      <c r="M177" s="1004">
        <f>IF(ISBLANK(Updater!D158),"",Updater!D158)</f>
        <v>116.068</v>
      </c>
      <c r="N177" s="1004"/>
      <c r="O177" s="1004"/>
      <c r="P177" s="1004"/>
      <c r="Q177" s="1004"/>
      <c r="R177" s="1004"/>
      <c r="S177" s="35"/>
      <c r="T177" s="847">
        <v>2013</v>
      </c>
      <c r="U177" s="847"/>
      <c r="V177" s="844">
        <f>IF(ISBLANK(Updater!D189),"",Updater!D189)</f>
        <v>131.19999999999999</v>
      </c>
      <c r="W177" s="844"/>
      <c r="X177" s="844">
        <f>IF(ISBLANK(Updater!F189),"",Updater!F189)</f>
        <v>163.80000000000001</v>
      </c>
      <c r="Y177" s="844"/>
      <c r="Z177" s="844">
        <f>IF(ISBLANK(Updater!H189),"",Updater!H189)</f>
        <v>208.2</v>
      </c>
      <c r="AA177" s="844"/>
      <c r="AB177" s="844">
        <f>IF(ISBLANK(Updater!J189),"",Updater!J189)</f>
        <v>208.2</v>
      </c>
      <c r="AC177" s="844"/>
      <c r="AD177" s="844">
        <f>IF(ISBLANK(Updater!L189),"",Updater!L189)</f>
        <v>188.5</v>
      </c>
      <c r="AE177" s="844"/>
      <c r="AF177" s="844">
        <f>IF(ISBLANK(Updater!N189),"",Updater!N189)</f>
        <v>188.5</v>
      </c>
      <c r="AG177" s="844"/>
      <c r="AH177" s="844">
        <f>IF(ISBLANK(Updater!P189),"",Updater!P189)</f>
        <v>188.5</v>
      </c>
      <c r="AI177" s="844"/>
    </row>
    <row r="178" spans="2:35" x14ac:dyDescent="0.25">
      <c r="B178" s="847">
        <v>2014</v>
      </c>
      <c r="C178" s="847"/>
      <c r="D178" s="1004">
        <f>IF(ISBLANK(Updater!D129),"",Updater!D129)</f>
        <v>233.06899999999999</v>
      </c>
      <c r="E178" s="1004"/>
      <c r="F178" s="1004"/>
      <c r="G178" s="1004"/>
      <c r="H178" s="1004"/>
      <c r="I178" s="1004"/>
      <c r="K178" s="847">
        <v>2014</v>
      </c>
      <c r="L178" s="847"/>
      <c r="M178" s="1004">
        <f>IF(ISBLANK(Updater!D159),"",Updater!D159)</f>
        <v>106.77800000000001</v>
      </c>
      <c r="N178" s="1004"/>
      <c r="O178" s="1004"/>
      <c r="P178" s="1004"/>
      <c r="Q178" s="1004"/>
      <c r="R178" s="1004"/>
      <c r="S178" s="35"/>
      <c r="T178" s="847">
        <v>2014</v>
      </c>
      <c r="U178" s="847"/>
      <c r="V178" s="844">
        <f>IF(ISBLANK(Updater!D190),"",Updater!D190)</f>
        <v>131.4</v>
      </c>
      <c r="W178" s="844"/>
      <c r="X178" s="844">
        <f>IF(ISBLANK(Updater!F190),"",Updater!F190)</f>
        <v>131.4</v>
      </c>
      <c r="Y178" s="844"/>
      <c r="Z178" s="844">
        <f>IF(ISBLANK(Updater!H190),"",Updater!H190)</f>
        <v>167.4</v>
      </c>
      <c r="AA178" s="844"/>
      <c r="AB178" s="844">
        <f>IF(ISBLANK(Updater!J190),"",Updater!J190)</f>
        <v>167.4</v>
      </c>
      <c r="AC178" s="844"/>
      <c r="AD178" s="844">
        <f>IF(ISBLANK(Updater!L190),"",Updater!L190)</f>
        <v>211.2</v>
      </c>
      <c r="AE178" s="844"/>
      <c r="AF178" s="844">
        <f>IF(ISBLANK(Updater!N190),"",Updater!N190)</f>
        <v>211.2</v>
      </c>
      <c r="AG178" s="844"/>
      <c r="AH178" s="844">
        <f>IF(ISBLANK(Updater!P190),"",Updater!P190)</f>
        <v>211.2</v>
      </c>
      <c r="AI178" s="844"/>
    </row>
    <row r="179" spans="2:35" x14ac:dyDescent="0.25">
      <c r="B179" s="847">
        <v>2015</v>
      </c>
      <c r="C179" s="847"/>
      <c r="D179" s="1004">
        <f>IF(ISBLANK(Updater!D130),"",Updater!D130)</f>
        <v>236.52500000000001</v>
      </c>
      <c r="E179" s="1004"/>
      <c r="F179" s="1004"/>
      <c r="G179" s="1004"/>
      <c r="H179" s="1004"/>
      <c r="I179" s="1004"/>
      <c r="K179" s="847">
        <v>2015</v>
      </c>
      <c r="L179" s="847"/>
      <c r="M179" s="1004">
        <f>IF(ISBLANK(Updater!D160),"",Updater!D160)</f>
        <v>110.51300000000001</v>
      </c>
      <c r="N179" s="1004"/>
      <c r="O179" s="1004"/>
      <c r="P179" s="1004"/>
      <c r="Q179" s="1004"/>
      <c r="R179" s="1004"/>
      <c r="S179" s="35"/>
      <c r="T179" s="847">
        <v>2015</v>
      </c>
      <c r="U179" s="847"/>
      <c r="V179" s="844">
        <f>IF(ISBLANK(Updater!D191),"",Updater!D191)</f>
        <v>135.6</v>
      </c>
      <c r="W179" s="844"/>
      <c r="X179" s="844">
        <f>IF(ISBLANK(Updater!F191),"",Updater!F191)</f>
        <v>135.6</v>
      </c>
      <c r="Y179" s="844"/>
      <c r="Z179" s="844">
        <f>IF(ISBLANK(Updater!H191),"",Updater!H191)</f>
        <v>172.7</v>
      </c>
      <c r="AA179" s="844"/>
      <c r="AB179" s="844">
        <f>IF(ISBLANK(Updater!J191),"",Updater!J191)</f>
        <v>172.7</v>
      </c>
      <c r="AC179" s="844"/>
      <c r="AD179" s="844">
        <f>IF(ISBLANK(Updater!L191),"",Updater!L191)</f>
        <v>172.7</v>
      </c>
      <c r="AE179" s="844"/>
      <c r="AF179" s="844">
        <f>IF(ISBLANK(Updater!N191),"",Updater!N191)</f>
        <v>220</v>
      </c>
      <c r="AG179" s="844"/>
      <c r="AH179" s="844">
        <f>IF(ISBLANK(Updater!P191),"",Updater!P191)</f>
        <v>220</v>
      </c>
      <c r="AI179" s="844"/>
    </row>
    <row r="180" spans="2:35" x14ac:dyDescent="0.25">
      <c r="B180" s="847">
        <v>2016</v>
      </c>
      <c r="C180" s="847"/>
      <c r="D180" s="1004">
        <f>IF(ISBLANK(Updater!D131),"",Updater!D131)</f>
        <v>241.43199999999999</v>
      </c>
      <c r="E180" s="1004"/>
      <c r="F180" s="1004"/>
      <c r="G180" s="1004"/>
      <c r="H180" s="1004"/>
      <c r="I180" s="1004"/>
      <c r="K180" s="847">
        <v>2016</v>
      </c>
      <c r="L180" s="847"/>
      <c r="M180" s="1004">
        <f>IF(ISBLANK(Updater!D161),"",Updater!D161)</f>
        <v>112.19</v>
      </c>
      <c r="N180" s="1004"/>
      <c r="O180" s="1004"/>
      <c r="P180" s="1004"/>
      <c r="Q180" s="1004"/>
      <c r="R180" s="1004"/>
      <c r="S180" s="35"/>
      <c r="T180" s="847">
        <v>2016</v>
      </c>
      <c r="U180" s="847"/>
      <c r="V180" s="844">
        <f>IF(ISBLANK(Updater!D192),"",Updater!D192)</f>
        <v>135.5</v>
      </c>
      <c r="W180" s="844"/>
      <c r="X180" s="844">
        <f>IF(ISBLANK(Updater!F192),"",Updater!F192)</f>
        <v>135.5</v>
      </c>
      <c r="Y180" s="844"/>
      <c r="Z180" s="844">
        <f>IF(ISBLANK(Updater!H192),"",Updater!H192)</f>
        <v>177.6</v>
      </c>
      <c r="AA180" s="844"/>
      <c r="AB180" s="844">
        <f>IF(ISBLANK(Updater!J192),"",Updater!J192)</f>
        <v>177.6</v>
      </c>
      <c r="AC180" s="844"/>
      <c r="AD180" s="844">
        <f>IF(ISBLANK(Updater!L192),"",Updater!L192)</f>
        <v>177.6</v>
      </c>
      <c r="AE180" s="844"/>
      <c r="AF180" s="844">
        <f>IF(ISBLANK(Updater!N192),"",Updater!N192)</f>
        <v>224.5</v>
      </c>
      <c r="AG180" s="844"/>
      <c r="AH180" s="844">
        <f>IF(ISBLANK(Updater!P192),"",Updater!P192)</f>
        <v>224.5</v>
      </c>
      <c r="AI180" s="844"/>
    </row>
    <row r="181" spans="2:35" x14ac:dyDescent="0.25">
      <c r="B181" s="847">
        <v>2017</v>
      </c>
      <c r="C181" s="847"/>
      <c r="D181" s="1004">
        <f>IF(ISBLANK(Updater!D132),"",Updater!D132)</f>
        <v>246.524</v>
      </c>
      <c r="E181" s="1004"/>
      <c r="F181" s="1004"/>
      <c r="G181" s="1004"/>
      <c r="H181" s="1004"/>
      <c r="I181" s="1004"/>
      <c r="K181" s="847">
        <v>2017</v>
      </c>
      <c r="L181" s="847"/>
      <c r="M181" s="1004">
        <f>IF(ISBLANK(Updater!D162),"",Updater!D162)</f>
        <v>108.824</v>
      </c>
      <c r="N181" s="1004"/>
      <c r="O181" s="1004"/>
      <c r="P181" s="1004"/>
      <c r="Q181" s="1004"/>
      <c r="R181" s="1004"/>
      <c r="S181" s="35"/>
      <c r="T181" s="847">
        <v>2017</v>
      </c>
      <c r="U181" s="847"/>
      <c r="V181" s="844">
        <f>IF(ISBLANK(Updater!D193),"",Updater!D193)</f>
        <v>134.9</v>
      </c>
      <c r="W181" s="844"/>
      <c r="X181" s="844">
        <f>IF(ISBLANK(Updater!F193),"",Updater!F193)</f>
        <v>134.9</v>
      </c>
      <c r="Y181" s="844"/>
      <c r="Z181" s="844">
        <f>IF(ISBLANK(Updater!H193),"",Updater!H193)</f>
        <v>179.3</v>
      </c>
      <c r="AA181" s="844"/>
      <c r="AB181" s="844">
        <f>IF(ISBLANK(Updater!J193),"",Updater!J193)</f>
        <v>179.3</v>
      </c>
      <c r="AC181" s="844"/>
      <c r="AD181" s="844">
        <f>IF(ISBLANK(Updater!L193),"",Updater!L193)</f>
        <v>228.7</v>
      </c>
      <c r="AE181" s="844"/>
      <c r="AF181" s="844">
        <f>IF(ISBLANK(Updater!N193),"",Updater!N193)</f>
        <v>228.7</v>
      </c>
      <c r="AG181" s="844"/>
      <c r="AH181" s="844">
        <f>IF(ISBLANK(Updater!P193),"",Updater!P193)</f>
        <v>228.7</v>
      </c>
      <c r="AI181" s="844"/>
    </row>
    <row r="182" spans="2:35" x14ac:dyDescent="0.25">
      <c r="B182" s="847">
        <v>2018</v>
      </c>
      <c r="C182" s="847"/>
      <c r="D182" s="1004">
        <f>IF(ISBLANK(Updater!D133),"",Updater!D133)</f>
        <v>250.54599999999999</v>
      </c>
      <c r="E182" s="1004"/>
      <c r="F182" s="1004"/>
      <c r="G182" s="1004"/>
      <c r="H182" s="1004"/>
      <c r="I182" s="1004"/>
      <c r="K182" s="847">
        <v>2018</v>
      </c>
      <c r="L182" s="847"/>
      <c r="M182" s="1004">
        <f>IF(ISBLANK(Updater!D163),"",Updater!D163)</f>
        <v>111.19</v>
      </c>
      <c r="N182" s="1004"/>
      <c r="O182" s="1004"/>
      <c r="P182" s="1004"/>
      <c r="Q182" s="1004"/>
      <c r="R182" s="1004"/>
      <c r="S182" s="35"/>
      <c r="T182" s="847">
        <v>2018</v>
      </c>
      <c r="U182" s="847"/>
      <c r="V182" s="844">
        <f>IF(ISBLANK(Updater!D194),"",Updater!D194)</f>
        <v>134.9</v>
      </c>
      <c r="W182" s="844"/>
      <c r="X182" s="844">
        <f>IF(ISBLANK(Updater!F194),"",Updater!F194)</f>
        <v>134.9</v>
      </c>
      <c r="Y182" s="844"/>
      <c r="Z182" s="844">
        <f>IF(ISBLANK(Updater!H194),"",Updater!H194)</f>
        <v>180.7</v>
      </c>
      <c r="AA182" s="844"/>
      <c r="AB182" s="844">
        <f>IF(ISBLANK(Updater!J194),"",Updater!J194)</f>
        <v>180.7</v>
      </c>
      <c r="AC182" s="844"/>
      <c r="AD182" s="844">
        <f>IF(ISBLANK(Updater!L194),"",Updater!L194)</f>
        <v>231.5</v>
      </c>
      <c r="AE182" s="844"/>
      <c r="AF182" s="844">
        <f>IF(ISBLANK(Updater!N194),"",Updater!N194)</f>
        <v>231.5</v>
      </c>
      <c r="AG182" s="844"/>
      <c r="AH182" s="844">
        <f>IF(ISBLANK(Updater!P194),"",Updater!P194)</f>
        <v>231.5</v>
      </c>
      <c r="AI182" s="844"/>
    </row>
    <row r="183" spans="2:35" x14ac:dyDescent="0.25">
      <c r="B183" s="847">
        <v>2019</v>
      </c>
      <c r="C183" s="847"/>
      <c r="D183" s="1004">
        <f>IF(ISBLANK(Updater!D134),"",Updater!D134)</f>
        <v>255.548</v>
      </c>
      <c r="E183" s="1004"/>
      <c r="F183" s="1004"/>
      <c r="G183" s="1004"/>
      <c r="H183" s="1004"/>
      <c r="I183" s="1004"/>
      <c r="K183" s="847">
        <v>2019</v>
      </c>
      <c r="L183" s="847"/>
      <c r="M183" s="1004">
        <f>IF(ISBLANK(Updater!D164),"",Updater!D164)</f>
        <v>111.37</v>
      </c>
      <c r="N183" s="1004"/>
      <c r="O183" s="1004"/>
      <c r="P183" s="1004"/>
      <c r="Q183" s="1004"/>
      <c r="R183" s="1004"/>
      <c r="S183" s="35"/>
      <c r="T183" s="847">
        <v>2019</v>
      </c>
      <c r="U183" s="847"/>
      <c r="V183" s="844">
        <f>IF(ISBLANK(Updater!D195),"",Updater!D195)</f>
        <v>135.1</v>
      </c>
      <c r="W183" s="844"/>
      <c r="X183" s="844">
        <f>IF(ISBLANK(Updater!F195),"",Updater!F195)</f>
        <v>135.1</v>
      </c>
      <c r="Y183" s="844"/>
      <c r="Z183" s="844">
        <f>IF(ISBLANK(Updater!H195),"",Updater!H195)</f>
        <v>177.2</v>
      </c>
      <c r="AA183" s="844"/>
      <c r="AB183" s="844">
        <f>IF(ISBLANK(Updater!J195),"",Updater!J195)</f>
        <v>177.2</v>
      </c>
      <c r="AC183" s="844"/>
      <c r="AD183" s="844">
        <f>IF(ISBLANK(Updater!L195),"",Updater!L195)</f>
        <v>231.9</v>
      </c>
      <c r="AE183" s="844"/>
      <c r="AF183" s="844">
        <f>IF(ISBLANK(Updater!N195),"",Updater!N195)</f>
        <v>231.9</v>
      </c>
      <c r="AG183" s="844"/>
      <c r="AH183" s="844">
        <f>IF(ISBLANK(Updater!P195),"",Updater!P195)</f>
        <v>231.9</v>
      </c>
      <c r="AI183" s="844"/>
    </row>
    <row r="184" spans="2:35" x14ac:dyDescent="0.25">
      <c r="B184" s="847">
        <v>2020</v>
      </c>
      <c r="C184" s="847"/>
      <c r="D184" s="1004" t="str">
        <f>IF(ISBLANK(Updater!D135),"",Updater!D135)</f>
        <v/>
      </c>
      <c r="E184" s="1004"/>
      <c r="F184" s="1004"/>
      <c r="G184" s="1004"/>
      <c r="H184" s="1004"/>
      <c r="I184" s="1004"/>
      <c r="K184" s="847">
        <v>2020</v>
      </c>
      <c r="L184" s="847"/>
      <c r="M184" s="1004" t="str">
        <f>IF(ISBLANK(Updater!D165),"",Updater!D165)</f>
        <v/>
      </c>
      <c r="N184" s="1004"/>
      <c r="O184" s="1004"/>
      <c r="P184" s="1004"/>
      <c r="Q184" s="1004"/>
      <c r="R184" s="1004"/>
      <c r="S184" s="35"/>
      <c r="T184" s="847">
        <v>2020</v>
      </c>
      <c r="U184" s="847"/>
      <c r="V184" s="844" t="str">
        <f>IF(ISBLANK(Updater!D196),"",Updater!D196)</f>
        <v/>
      </c>
      <c r="W184" s="844"/>
      <c r="X184" s="844" t="str">
        <f>IF(ISBLANK(Updater!F196),"",Updater!F196)</f>
        <v/>
      </c>
      <c r="Y184" s="844"/>
      <c r="Z184" s="844" t="str">
        <f>IF(ISBLANK(Updater!H196),"",Updater!H196)</f>
        <v/>
      </c>
      <c r="AA184" s="844"/>
      <c r="AB184" s="844" t="str">
        <f>IF(ISBLANK(Updater!J196),"",Updater!J196)</f>
        <v/>
      </c>
      <c r="AC184" s="844"/>
      <c r="AD184" s="844" t="str">
        <f>IF(ISBLANK(Updater!L196),"",Updater!L196)</f>
        <v/>
      </c>
      <c r="AE184" s="844"/>
      <c r="AF184" s="844" t="str">
        <f>IF(ISBLANK(Updater!N196),"",Updater!N196)</f>
        <v/>
      </c>
      <c r="AG184" s="844"/>
      <c r="AH184" s="844" t="str">
        <f>IF(ISBLANK(Updater!P196),"",Updater!P196)</f>
        <v/>
      </c>
      <c r="AI184" s="844"/>
    </row>
    <row r="185" spans="2:35" x14ac:dyDescent="0.25">
      <c r="B185" s="847">
        <v>2021</v>
      </c>
      <c r="C185" s="847"/>
      <c r="D185" s="1004" t="str">
        <f>IF(ISBLANK(Updater!D136),"",Updater!D136)</f>
        <v/>
      </c>
      <c r="E185" s="1004"/>
      <c r="F185" s="1004"/>
      <c r="G185" s="1004"/>
      <c r="H185" s="1004"/>
      <c r="I185" s="1004"/>
      <c r="K185" s="847">
        <v>2021</v>
      </c>
      <c r="L185" s="847"/>
      <c r="M185" s="1004" t="str">
        <f>IF(ISBLANK(Updater!D166),"",Updater!D166)</f>
        <v/>
      </c>
      <c r="N185" s="1004"/>
      <c r="O185" s="1004"/>
      <c r="P185" s="1004"/>
      <c r="Q185" s="1004"/>
      <c r="R185" s="1004"/>
      <c r="S185" s="35"/>
      <c r="T185" s="847">
        <v>2021</v>
      </c>
      <c r="U185" s="847"/>
      <c r="V185" s="844" t="str">
        <f>IF(ISBLANK(Updater!D197),"",Updater!D197)</f>
        <v/>
      </c>
      <c r="W185" s="844"/>
      <c r="X185" s="844" t="str">
        <f>IF(ISBLANK(Updater!F197),"",Updater!F197)</f>
        <v/>
      </c>
      <c r="Y185" s="844"/>
      <c r="Z185" s="844" t="str">
        <f>IF(ISBLANK(Updater!H197),"",Updater!H197)</f>
        <v/>
      </c>
      <c r="AA185" s="844"/>
      <c r="AB185" s="844" t="str">
        <f>IF(ISBLANK(Updater!J197),"",Updater!J197)</f>
        <v/>
      </c>
      <c r="AC185" s="844"/>
      <c r="AD185" s="844" t="str">
        <f>IF(ISBLANK(Updater!L197),"",Updater!L197)</f>
        <v/>
      </c>
      <c r="AE185" s="844"/>
      <c r="AF185" s="844" t="str">
        <f>IF(ISBLANK(Updater!N197),"",Updater!N197)</f>
        <v/>
      </c>
      <c r="AG185" s="844"/>
      <c r="AH185" s="844" t="str">
        <f>IF(ISBLANK(Updater!P197),"",Updater!P197)</f>
        <v/>
      </c>
      <c r="AI185" s="844"/>
    </row>
    <row r="186" spans="2:35" x14ac:dyDescent="0.25">
      <c r="B186" s="847">
        <v>2022</v>
      </c>
      <c r="C186" s="847"/>
      <c r="D186" s="1004" t="str">
        <f>IF(ISBLANK(Updater!D137),"",Updater!D137)</f>
        <v/>
      </c>
      <c r="E186" s="1004"/>
      <c r="F186" s="1004"/>
      <c r="G186" s="1004"/>
      <c r="H186" s="1004"/>
      <c r="I186" s="1004"/>
      <c r="K186" s="847">
        <v>2022</v>
      </c>
      <c r="L186" s="847"/>
      <c r="M186" s="1004" t="str">
        <f>IF(ISBLANK(Updater!D167),"",Updater!D167)</f>
        <v/>
      </c>
      <c r="N186" s="1004"/>
      <c r="O186" s="1004"/>
      <c r="P186" s="1004"/>
      <c r="Q186" s="1004"/>
      <c r="R186" s="1004"/>
      <c r="S186" s="35"/>
      <c r="T186" s="847">
        <v>2022</v>
      </c>
      <c r="U186" s="847"/>
      <c r="V186" s="844" t="str">
        <f>IF(ISBLANK(Updater!D198),"",Updater!D198)</f>
        <v/>
      </c>
      <c r="W186" s="844"/>
      <c r="X186" s="844" t="str">
        <f>IF(ISBLANK(Updater!F198),"",Updater!F198)</f>
        <v/>
      </c>
      <c r="Y186" s="844"/>
      <c r="Z186" s="844" t="str">
        <f>IF(ISBLANK(Updater!H198),"",Updater!H198)</f>
        <v/>
      </c>
      <c r="AA186" s="844"/>
      <c r="AB186" s="844" t="str">
        <f>IF(ISBLANK(Updater!J198),"",Updater!J198)</f>
        <v/>
      </c>
      <c r="AC186" s="844"/>
      <c r="AD186" s="844" t="str">
        <f>IF(ISBLANK(Updater!L198),"",Updater!L198)</f>
        <v/>
      </c>
      <c r="AE186" s="844"/>
      <c r="AF186" s="844" t="str">
        <f>IF(ISBLANK(Updater!N198),"",Updater!N198)</f>
        <v/>
      </c>
      <c r="AG186" s="844"/>
      <c r="AH186" s="844" t="str">
        <f>IF(ISBLANK(Updater!P198),"",Updater!P198)</f>
        <v/>
      </c>
      <c r="AI186" s="844"/>
    </row>
    <row r="187" spans="2:35" x14ac:dyDescent="0.25">
      <c r="B187" s="847">
        <v>2023</v>
      </c>
      <c r="C187" s="847"/>
      <c r="D187" s="1004" t="str">
        <f>IF(ISBLANK(Updater!D138),"",Updater!D138)</f>
        <v/>
      </c>
      <c r="E187" s="1004"/>
      <c r="F187" s="1004"/>
      <c r="G187" s="1004"/>
      <c r="H187" s="1004"/>
      <c r="I187" s="1004"/>
      <c r="K187" s="847">
        <v>2023</v>
      </c>
      <c r="L187" s="847"/>
      <c r="M187" s="1004" t="str">
        <f>IF(ISBLANK(Updater!D168),"",Updater!D168)</f>
        <v/>
      </c>
      <c r="N187" s="1004"/>
      <c r="O187" s="1004"/>
      <c r="P187" s="1004"/>
      <c r="Q187" s="1004"/>
      <c r="R187" s="1004"/>
      <c r="S187" s="35"/>
      <c r="T187" s="847">
        <v>2023</v>
      </c>
      <c r="U187" s="847"/>
      <c r="V187" s="844" t="str">
        <f>IF(ISBLANK(Updater!D199),"",Updater!D199)</f>
        <v/>
      </c>
      <c r="W187" s="844"/>
      <c r="X187" s="844" t="str">
        <f>IF(ISBLANK(Updater!F199),"",Updater!F199)</f>
        <v/>
      </c>
      <c r="Y187" s="844"/>
      <c r="Z187" s="844" t="str">
        <f>IF(ISBLANK(Updater!H199),"",Updater!H199)</f>
        <v/>
      </c>
      <c r="AA187" s="844"/>
      <c r="AB187" s="844" t="str">
        <f>IF(ISBLANK(Updater!J199),"",Updater!J199)</f>
        <v/>
      </c>
      <c r="AC187" s="844"/>
      <c r="AD187" s="844" t="str">
        <f>IF(ISBLANK(Updater!L199),"",Updater!L199)</f>
        <v/>
      </c>
      <c r="AE187" s="844"/>
      <c r="AF187" s="844" t="str">
        <f>IF(ISBLANK(Updater!N199),"",Updater!N199)</f>
        <v/>
      </c>
      <c r="AG187" s="844"/>
      <c r="AH187" s="844" t="str">
        <f>IF(ISBLANK(Updater!P199),"",Updater!P199)</f>
        <v/>
      </c>
      <c r="AI187" s="844"/>
    </row>
    <row r="188" spans="2:35" x14ac:dyDescent="0.25">
      <c r="B188" s="847">
        <v>2024</v>
      </c>
      <c r="C188" s="847"/>
      <c r="D188" s="1004" t="str">
        <f>IF(ISBLANK(Updater!D139),"",Updater!D139)</f>
        <v/>
      </c>
      <c r="E188" s="1004"/>
      <c r="F188" s="1004"/>
      <c r="G188" s="1004"/>
      <c r="H188" s="1004"/>
      <c r="I188" s="1004"/>
      <c r="K188" s="847">
        <v>2024</v>
      </c>
      <c r="L188" s="847"/>
      <c r="M188" s="1004" t="str">
        <f>IF(ISBLANK(Updater!D169),"",Updater!D169)</f>
        <v/>
      </c>
      <c r="N188" s="1004"/>
      <c r="O188" s="1004"/>
      <c r="P188" s="1004"/>
      <c r="Q188" s="1004"/>
      <c r="R188" s="1004"/>
      <c r="S188" s="35"/>
      <c r="T188" s="847">
        <v>2024</v>
      </c>
      <c r="U188" s="847"/>
      <c r="V188" s="844" t="str">
        <f>IF(ISBLANK(Updater!D200),"",Updater!D200)</f>
        <v/>
      </c>
      <c r="W188" s="844"/>
      <c r="X188" s="844" t="str">
        <f>IF(ISBLANK(Updater!F200),"",Updater!F200)</f>
        <v/>
      </c>
      <c r="Y188" s="844"/>
      <c r="Z188" s="844" t="str">
        <f>IF(ISBLANK(Updater!H200),"",Updater!H200)</f>
        <v/>
      </c>
      <c r="AA188" s="844"/>
      <c r="AB188" s="844" t="str">
        <f>IF(ISBLANK(Updater!J200),"",Updater!J200)</f>
        <v/>
      </c>
      <c r="AC188" s="844"/>
      <c r="AD188" s="844" t="str">
        <f>IF(ISBLANK(Updater!L200),"",Updater!L200)</f>
        <v/>
      </c>
      <c r="AE188" s="844"/>
      <c r="AF188" s="844" t="str">
        <f>IF(ISBLANK(Updater!N200),"",Updater!N200)</f>
        <v/>
      </c>
      <c r="AG188" s="844"/>
      <c r="AH188" s="844" t="str">
        <f>IF(ISBLANK(Updater!P200),"",Updater!P200)</f>
        <v/>
      </c>
      <c r="AI188" s="844"/>
    </row>
    <row r="189" spans="2:35" x14ac:dyDescent="0.25">
      <c r="B189" s="847">
        <v>2025</v>
      </c>
      <c r="C189" s="847"/>
      <c r="D189" s="1004" t="str">
        <f>IF(ISBLANK(Updater!D140),"",Updater!D140)</f>
        <v/>
      </c>
      <c r="E189" s="1004"/>
      <c r="F189" s="1004"/>
      <c r="G189" s="1004"/>
      <c r="H189" s="1004"/>
      <c r="I189" s="1004"/>
      <c r="K189" s="847">
        <v>2025</v>
      </c>
      <c r="L189" s="847"/>
      <c r="M189" s="1004" t="str">
        <f>IF(ISBLANK(Updater!D170),"",Updater!D170)</f>
        <v/>
      </c>
      <c r="N189" s="1004"/>
      <c r="O189" s="1004"/>
      <c r="P189" s="1004"/>
      <c r="Q189" s="1004"/>
      <c r="R189" s="1004"/>
      <c r="S189" s="35"/>
      <c r="T189" s="847">
        <v>2025</v>
      </c>
      <c r="U189" s="847"/>
      <c r="V189" s="844" t="str">
        <f>IF(ISBLANK(Updater!D201),"",Updater!D201)</f>
        <v/>
      </c>
      <c r="W189" s="844"/>
      <c r="X189" s="844" t="str">
        <f>IF(ISBLANK(Updater!F201),"",Updater!F201)</f>
        <v/>
      </c>
      <c r="Y189" s="844"/>
      <c r="Z189" s="844" t="str">
        <f>IF(ISBLANK(Updater!H201),"",Updater!H201)</f>
        <v/>
      </c>
      <c r="AA189" s="844"/>
      <c r="AB189" s="844" t="str">
        <f>IF(ISBLANK(Updater!J201),"",Updater!J201)</f>
        <v/>
      </c>
      <c r="AC189" s="844"/>
      <c r="AD189" s="844" t="str">
        <f>IF(ISBLANK(Updater!L201),"",Updater!L201)</f>
        <v/>
      </c>
      <c r="AE189" s="844"/>
      <c r="AF189" s="844" t="str">
        <f>IF(ISBLANK(Updater!N201),"",Updater!N201)</f>
        <v/>
      </c>
      <c r="AG189" s="844"/>
      <c r="AH189" s="844" t="str">
        <f>IF(ISBLANK(Updater!P201),"",Updater!P201)</f>
        <v/>
      </c>
      <c r="AI189" s="844"/>
    </row>
    <row r="190" spans="2:35" x14ac:dyDescent="0.25">
      <c r="B190" s="847">
        <v>2026</v>
      </c>
      <c r="C190" s="847"/>
      <c r="D190" s="1004" t="str">
        <f>IF(ISBLANK(Updater!D141),"",Updater!D141)</f>
        <v/>
      </c>
      <c r="E190" s="1004"/>
      <c r="F190" s="1004"/>
      <c r="G190" s="1004"/>
      <c r="H190" s="1004"/>
      <c r="I190" s="1004"/>
      <c r="K190" s="847">
        <v>2026</v>
      </c>
      <c r="L190" s="847"/>
      <c r="M190" s="1004" t="str">
        <f>IF(ISBLANK(Updater!D171),"",Updater!D171)</f>
        <v/>
      </c>
      <c r="N190" s="1004"/>
      <c r="O190" s="1004"/>
      <c r="P190" s="1004"/>
      <c r="Q190" s="1004"/>
      <c r="R190" s="1004"/>
      <c r="S190" s="35"/>
      <c r="T190" s="847">
        <v>2026</v>
      </c>
      <c r="U190" s="847"/>
      <c r="V190" s="844" t="str">
        <f>IF(ISBLANK(Updater!D202),"",Updater!D202)</f>
        <v/>
      </c>
      <c r="W190" s="844"/>
      <c r="X190" s="844" t="str">
        <f>IF(ISBLANK(Updater!F202),"",Updater!F202)</f>
        <v/>
      </c>
      <c r="Y190" s="844"/>
      <c r="Z190" s="844" t="str">
        <f>IF(ISBLANK(Updater!H202),"",Updater!H202)</f>
        <v/>
      </c>
      <c r="AA190" s="844"/>
      <c r="AB190" s="844" t="str">
        <f>IF(ISBLANK(Updater!J202),"",Updater!J202)</f>
        <v/>
      </c>
      <c r="AC190" s="844"/>
      <c r="AD190" s="844" t="str">
        <f>IF(ISBLANK(Updater!L202),"",Updater!L202)</f>
        <v/>
      </c>
      <c r="AE190" s="844"/>
      <c r="AF190" s="844" t="str">
        <f>IF(ISBLANK(Updater!N202),"",Updater!N202)</f>
        <v/>
      </c>
      <c r="AG190" s="844"/>
      <c r="AH190" s="844" t="str">
        <f>IF(ISBLANK(Updater!P202),"",Updater!P202)</f>
        <v/>
      </c>
      <c r="AI190" s="844"/>
    </row>
    <row r="191" spans="2:35" x14ac:dyDescent="0.25">
      <c r="B191" s="847">
        <v>2027</v>
      </c>
      <c r="C191" s="847"/>
      <c r="D191" s="1004" t="str">
        <f>IF(ISBLANK(Updater!D142),"",Updater!D142)</f>
        <v/>
      </c>
      <c r="E191" s="1004"/>
      <c r="F191" s="1004"/>
      <c r="G191" s="1004"/>
      <c r="H191" s="1004"/>
      <c r="I191" s="1004"/>
      <c r="K191" s="847">
        <v>2027</v>
      </c>
      <c r="L191" s="847"/>
      <c r="M191" s="1004" t="str">
        <f>IF(ISBLANK(Updater!D172),"",Updater!D172)</f>
        <v/>
      </c>
      <c r="N191" s="1004"/>
      <c r="O191" s="1004"/>
      <c r="P191" s="1004"/>
      <c r="Q191" s="1004"/>
      <c r="R191" s="1004"/>
      <c r="S191" s="35"/>
      <c r="T191" s="847">
        <v>2027</v>
      </c>
      <c r="U191" s="847"/>
      <c r="V191" s="844" t="str">
        <f>IF(ISBLANK(Updater!D203),"",Updater!D203)</f>
        <v/>
      </c>
      <c r="W191" s="844"/>
      <c r="X191" s="844" t="str">
        <f>IF(ISBLANK(Updater!F203),"",Updater!F203)</f>
        <v/>
      </c>
      <c r="Y191" s="844"/>
      <c r="Z191" s="844" t="str">
        <f>IF(ISBLANK(Updater!H203),"",Updater!H203)</f>
        <v/>
      </c>
      <c r="AA191" s="844"/>
      <c r="AB191" s="844" t="str">
        <f>IF(ISBLANK(Updater!J203),"",Updater!J203)</f>
        <v/>
      </c>
      <c r="AC191" s="844"/>
      <c r="AD191" s="844" t="str">
        <f>IF(ISBLANK(Updater!L203),"",Updater!L203)</f>
        <v/>
      </c>
      <c r="AE191" s="844"/>
      <c r="AF191" s="844" t="str">
        <f>IF(ISBLANK(Updater!N203),"",Updater!N203)</f>
        <v/>
      </c>
      <c r="AG191" s="844"/>
      <c r="AH191" s="844" t="str">
        <f>IF(ISBLANK(Updater!P203),"",Updater!P203)</f>
        <v/>
      </c>
      <c r="AI191" s="844"/>
    </row>
    <row r="192" spans="2:35" x14ac:dyDescent="0.25">
      <c r="B192" s="847">
        <v>2028</v>
      </c>
      <c r="C192" s="847"/>
      <c r="D192" s="1004" t="str">
        <f>IF(ISBLANK(Updater!D143),"",Updater!D143)</f>
        <v/>
      </c>
      <c r="E192" s="1004"/>
      <c r="F192" s="1004"/>
      <c r="G192" s="1004"/>
      <c r="H192" s="1004"/>
      <c r="I192" s="1004"/>
      <c r="K192" s="847">
        <v>2028</v>
      </c>
      <c r="L192" s="847"/>
      <c r="M192" s="1004" t="str">
        <f>IF(ISBLANK(Updater!D173),"",Updater!D173)</f>
        <v/>
      </c>
      <c r="N192" s="1004"/>
      <c r="O192" s="1004"/>
      <c r="P192" s="1004"/>
      <c r="Q192" s="1004"/>
      <c r="R192" s="1004"/>
      <c r="S192" s="35"/>
      <c r="T192" s="847">
        <v>2028</v>
      </c>
      <c r="U192" s="847"/>
      <c r="V192" s="844" t="str">
        <f>IF(ISBLANK(Updater!D204),"",Updater!D204)</f>
        <v/>
      </c>
      <c r="W192" s="844"/>
      <c r="X192" s="844" t="str">
        <f>IF(ISBLANK(Updater!F204),"",Updater!F204)</f>
        <v/>
      </c>
      <c r="Y192" s="844"/>
      <c r="Z192" s="844" t="str">
        <f>IF(ISBLANK(Updater!H204),"",Updater!H204)</f>
        <v/>
      </c>
      <c r="AA192" s="844"/>
      <c r="AB192" s="844" t="str">
        <f>IF(ISBLANK(Updater!J204),"",Updater!J204)</f>
        <v/>
      </c>
      <c r="AC192" s="844"/>
      <c r="AD192" s="844" t="str">
        <f>IF(ISBLANK(Updater!L204),"",Updater!L204)</f>
        <v/>
      </c>
      <c r="AE192" s="844"/>
      <c r="AF192" s="844" t="str">
        <f>IF(ISBLANK(Updater!N204),"",Updater!N204)</f>
        <v/>
      </c>
      <c r="AG192" s="844"/>
      <c r="AH192" s="844" t="str">
        <f>IF(ISBLANK(Updater!P204),"",Updater!P204)</f>
        <v/>
      </c>
      <c r="AI192" s="844"/>
    </row>
    <row r="193" spans="2:35" x14ac:dyDescent="0.25">
      <c r="B193" s="847">
        <v>2029</v>
      </c>
      <c r="C193" s="847"/>
      <c r="D193" s="1004" t="str">
        <f>IF(ISBLANK(Updater!D144),"",Updater!D144)</f>
        <v/>
      </c>
      <c r="E193" s="1004"/>
      <c r="F193" s="1004"/>
      <c r="G193" s="1004"/>
      <c r="H193" s="1004"/>
      <c r="I193" s="1004"/>
      <c r="K193" s="847">
        <v>2029</v>
      </c>
      <c r="L193" s="847"/>
      <c r="M193" s="1004" t="str">
        <f>IF(ISBLANK(Updater!D174),"",Updater!D174)</f>
        <v/>
      </c>
      <c r="N193" s="1004"/>
      <c r="O193" s="1004"/>
      <c r="P193" s="1004"/>
      <c r="Q193" s="1004"/>
      <c r="R193" s="1004"/>
      <c r="S193" s="35"/>
      <c r="T193" s="847">
        <v>2029</v>
      </c>
      <c r="U193" s="847"/>
      <c r="V193" s="844" t="str">
        <f>IF(ISBLANK(Updater!D205),"",Updater!D205)</f>
        <v/>
      </c>
      <c r="W193" s="844"/>
      <c r="X193" s="844" t="str">
        <f>IF(ISBLANK(Updater!F205),"",Updater!F205)</f>
        <v/>
      </c>
      <c r="Y193" s="844"/>
      <c r="Z193" s="844" t="str">
        <f>IF(ISBLANK(Updater!H205),"",Updater!H205)</f>
        <v/>
      </c>
      <c r="AA193" s="844"/>
      <c r="AB193" s="844" t="str">
        <f>IF(ISBLANK(Updater!J205),"",Updater!J205)</f>
        <v/>
      </c>
      <c r="AC193" s="844"/>
      <c r="AD193" s="844" t="str">
        <f>IF(ISBLANK(Updater!L205),"",Updater!L205)</f>
        <v/>
      </c>
      <c r="AE193" s="844"/>
      <c r="AF193" s="844" t="str">
        <f>IF(ISBLANK(Updater!N205),"",Updater!N205)</f>
        <v/>
      </c>
      <c r="AG193" s="844"/>
      <c r="AH193" s="844" t="str">
        <f>IF(ISBLANK(Updater!P205),"",Updater!P205)</f>
        <v/>
      </c>
      <c r="AI193" s="844"/>
    </row>
    <row r="194" spans="2:35" x14ac:dyDescent="0.25">
      <c r="B194" s="847">
        <v>2030</v>
      </c>
      <c r="C194" s="847"/>
      <c r="D194" s="1004" t="str">
        <f>IF(ISBLANK(Updater!D145),"",Updater!D145)</f>
        <v/>
      </c>
      <c r="E194" s="1004"/>
      <c r="F194" s="1004"/>
      <c r="G194" s="1004"/>
      <c r="H194" s="1004"/>
      <c r="I194" s="1004"/>
      <c r="K194" s="847">
        <v>2030</v>
      </c>
      <c r="L194" s="847"/>
      <c r="M194" s="1004" t="str">
        <f>IF(ISBLANK(Updater!D175),"",Updater!D175)</f>
        <v/>
      </c>
      <c r="N194" s="1004"/>
      <c r="O194" s="1004"/>
      <c r="P194" s="1004"/>
      <c r="Q194" s="1004"/>
      <c r="R194" s="1004"/>
      <c r="S194" s="35"/>
      <c r="T194" s="847">
        <v>2030</v>
      </c>
      <c r="U194" s="847"/>
      <c r="V194" s="844" t="str">
        <f>IF(ISBLANK(Updater!D206),"",Updater!D206)</f>
        <v/>
      </c>
      <c r="W194" s="844"/>
      <c r="X194" s="844" t="str">
        <f>IF(ISBLANK(Updater!F206),"",Updater!F206)</f>
        <v/>
      </c>
      <c r="Y194" s="844"/>
      <c r="Z194" s="844" t="str">
        <f>IF(ISBLANK(Updater!H206),"",Updater!H206)</f>
        <v/>
      </c>
      <c r="AA194" s="844"/>
      <c r="AB194" s="844" t="str">
        <f>IF(ISBLANK(Updater!J206),"",Updater!J206)</f>
        <v/>
      </c>
      <c r="AC194" s="844"/>
      <c r="AD194" s="844" t="str">
        <f>IF(ISBLANK(Updater!L206),"",Updater!L206)</f>
        <v/>
      </c>
      <c r="AE194" s="844"/>
      <c r="AF194" s="844" t="str">
        <f>IF(ISBLANK(Updater!N206),"",Updater!N206)</f>
        <v/>
      </c>
      <c r="AG194" s="844"/>
      <c r="AH194" s="844" t="str">
        <f>IF(ISBLANK(Updater!P206),"",Updater!P206)</f>
        <v/>
      </c>
      <c r="AI194" s="844"/>
    </row>
    <row r="195" spans="2:35" x14ac:dyDescent="0.25">
      <c r="B195" s="847">
        <v>2031</v>
      </c>
      <c r="C195" s="847"/>
      <c r="D195" s="1004" t="str">
        <f>IF(ISBLANK(Updater!D146),"",Updater!D146)</f>
        <v/>
      </c>
      <c r="E195" s="1004"/>
      <c r="F195" s="1004"/>
      <c r="G195" s="1004"/>
      <c r="H195" s="1004"/>
      <c r="I195" s="1004"/>
      <c r="K195" s="847">
        <v>2031</v>
      </c>
      <c r="L195" s="847"/>
      <c r="M195" s="1004" t="str">
        <f>IF(ISBLANK(Updater!D176),"",Updater!D176)</f>
        <v/>
      </c>
      <c r="N195" s="1004"/>
      <c r="O195" s="1004"/>
      <c r="P195" s="1004"/>
      <c r="Q195" s="1004"/>
      <c r="R195" s="1004"/>
      <c r="S195" s="35"/>
      <c r="T195" s="847">
        <v>2031</v>
      </c>
      <c r="U195" s="847"/>
      <c r="V195" s="844" t="str">
        <f>IF(ISBLANK(Updater!D207),"",Updater!D207)</f>
        <v/>
      </c>
      <c r="W195" s="844"/>
      <c r="X195" s="844" t="str">
        <f>IF(ISBLANK(Updater!F207),"",Updater!F207)</f>
        <v/>
      </c>
      <c r="Y195" s="844"/>
      <c r="Z195" s="844" t="str">
        <f>IF(ISBLANK(Updater!H207),"",Updater!H207)</f>
        <v/>
      </c>
      <c r="AA195" s="844"/>
      <c r="AB195" s="844" t="str">
        <f>IF(ISBLANK(Updater!J207),"",Updater!J207)</f>
        <v/>
      </c>
      <c r="AC195" s="844"/>
      <c r="AD195" s="844" t="str">
        <f>IF(ISBLANK(Updater!L207),"",Updater!L207)</f>
        <v/>
      </c>
      <c r="AE195" s="844"/>
      <c r="AF195" s="844" t="str">
        <f>IF(ISBLANK(Updater!N207),"",Updater!N207)</f>
        <v/>
      </c>
      <c r="AG195" s="844"/>
      <c r="AH195" s="844" t="str">
        <f>IF(ISBLANK(Updater!P207),"",Updater!P207)</f>
        <v/>
      </c>
      <c r="AI195" s="844"/>
    </row>
    <row r="196" spans="2:35" x14ac:dyDescent="0.25">
      <c r="B196" s="847">
        <v>2032</v>
      </c>
      <c r="C196" s="847"/>
      <c r="D196" s="1004" t="str">
        <f>IF(ISBLANK(Updater!D147),"",Updater!D147)</f>
        <v/>
      </c>
      <c r="E196" s="1004"/>
      <c r="F196" s="1004"/>
      <c r="G196" s="1004"/>
      <c r="H196" s="1004"/>
      <c r="I196" s="1004"/>
      <c r="K196" s="847">
        <v>2032</v>
      </c>
      <c r="L196" s="847"/>
      <c r="M196" s="1004" t="str">
        <f>IF(ISBLANK(Updater!D177),"",Updater!D177)</f>
        <v/>
      </c>
      <c r="N196" s="1004"/>
      <c r="O196" s="1004"/>
      <c r="P196" s="1004"/>
      <c r="Q196" s="1004"/>
      <c r="R196" s="1004"/>
      <c r="S196" s="35"/>
      <c r="T196" s="847">
        <v>2032</v>
      </c>
      <c r="U196" s="847"/>
      <c r="V196" s="844" t="str">
        <f>IF(ISBLANK(Updater!D208),"",Updater!D208)</f>
        <v/>
      </c>
      <c r="W196" s="844"/>
      <c r="X196" s="844" t="str">
        <f>IF(ISBLANK(Updater!F208),"",Updater!F208)</f>
        <v/>
      </c>
      <c r="Y196" s="844"/>
      <c r="Z196" s="844" t="str">
        <f>IF(ISBLANK(Updater!H208),"",Updater!H208)</f>
        <v/>
      </c>
      <c r="AA196" s="844"/>
      <c r="AB196" s="844" t="str">
        <f>IF(ISBLANK(Updater!J208),"",Updater!J208)</f>
        <v/>
      </c>
      <c r="AC196" s="844"/>
      <c r="AD196" s="844" t="str">
        <f>IF(ISBLANK(Updater!L208),"",Updater!L208)</f>
        <v/>
      </c>
      <c r="AE196" s="844"/>
      <c r="AF196" s="844" t="str">
        <f>IF(ISBLANK(Updater!N208),"",Updater!N208)</f>
        <v/>
      </c>
      <c r="AG196" s="844"/>
      <c r="AH196" s="844" t="str">
        <f>IF(ISBLANK(Updater!P208),"",Updater!P208)</f>
        <v/>
      </c>
      <c r="AI196" s="844"/>
    </row>
    <row r="197" spans="2:35" x14ac:dyDescent="0.25">
      <c r="B197" s="847">
        <v>2033</v>
      </c>
      <c r="C197" s="847"/>
      <c r="D197" s="1004" t="str">
        <f>IF(ISBLANK(Updater!D148),"",Updater!D148)</f>
        <v/>
      </c>
      <c r="E197" s="1004"/>
      <c r="F197" s="1004"/>
      <c r="G197" s="1004"/>
      <c r="H197" s="1004"/>
      <c r="I197" s="1004"/>
      <c r="K197" s="847">
        <v>2033</v>
      </c>
      <c r="L197" s="847"/>
      <c r="M197" s="1004" t="str">
        <f>IF(ISBLANK(Updater!D178),"",Updater!D178)</f>
        <v/>
      </c>
      <c r="N197" s="1004"/>
      <c r="O197" s="1004"/>
      <c r="P197" s="1004"/>
      <c r="Q197" s="1004"/>
      <c r="R197" s="1004"/>
      <c r="S197" s="35"/>
      <c r="T197" s="847">
        <v>2033</v>
      </c>
      <c r="U197" s="847"/>
      <c r="V197" s="844" t="str">
        <f>IF(ISBLANK(Updater!D209),"",Updater!D209)</f>
        <v/>
      </c>
      <c r="W197" s="844"/>
      <c r="X197" s="844" t="str">
        <f>IF(ISBLANK(Updater!F209),"",Updater!F209)</f>
        <v/>
      </c>
      <c r="Y197" s="844"/>
      <c r="Z197" s="844" t="str">
        <f>IF(ISBLANK(Updater!H209),"",Updater!H209)</f>
        <v/>
      </c>
      <c r="AA197" s="844"/>
      <c r="AB197" s="844" t="str">
        <f>IF(ISBLANK(Updater!J209),"",Updater!J209)</f>
        <v/>
      </c>
      <c r="AC197" s="844"/>
      <c r="AD197" s="844" t="str">
        <f>IF(ISBLANK(Updater!L209),"",Updater!L209)</f>
        <v/>
      </c>
      <c r="AE197" s="844"/>
      <c r="AF197" s="844" t="str">
        <f>IF(ISBLANK(Updater!N209),"",Updater!N209)</f>
        <v/>
      </c>
      <c r="AG197" s="844"/>
      <c r="AH197" s="844" t="str">
        <f>IF(ISBLANK(Updater!P209),"",Updater!P209)</f>
        <v/>
      </c>
      <c r="AI197" s="844"/>
    </row>
    <row r="198" spans="2:35" x14ac:dyDescent="0.25">
      <c r="B198" s="991" t="s">
        <v>835</v>
      </c>
      <c r="C198" s="991"/>
      <c r="D198" s="991"/>
      <c r="E198" s="991"/>
      <c r="F198" s="991"/>
      <c r="G198" s="991"/>
      <c r="H198" s="991"/>
      <c r="I198" s="991"/>
      <c r="K198" s="991" t="s">
        <v>968</v>
      </c>
      <c r="L198" s="991"/>
      <c r="M198" s="991"/>
      <c r="N198" s="991"/>
      <c r="O198" s="991"/>
      <c r="P198" s="991"/>
      <c r="Q198" s="991"/>
      <c r="R198" s="991"/>
      <c r="S198" s="35"/>
      <c r="T198" s="845" t="s">
        <v>978</v>
      </c>
      <c r="U198" s="845"/>
      <c r="V198" s="845" t="str">
        <f>Updater!D210</f>
        <v>1411-01</v>
      </c>
      <c r="W198" s="845"/>
      <c r="X198" s="845" t="str">
        <f>Updater!F210</f>
        <v>1411-01</v>
      </c>
      <c r="Y198" s="845"/>
      <c r="Z198" s="845" t="str">
        <f>Updater!H210</f>
        <v>1411-05</v>
      </c>
      <c r="AA198" s="845"/>
      <c r="AB198" s="845" t="str">
        <f>Updater!J210</f>
        <v>1411-05</v>
      </c>
      <c r="AC198" s="845"/>
      <c r="AD198" s="845" t="str">
        <f>Updater!L210</f>
        <v>1414-06</v>
      </c>
      <c r="AE198" s="845"/>
      <c r="AF198" s="845" t="str">
        <f>Updater!N210</f>
        <v>1414-06</v>
      </c>
      <c r="AG198" s="845"/>
      <c r="AH198" s="845" t="str">
        <f>Updater!P210</f>
        <v>1414-06</v>
      </c>
      <c r="AI198" s="845"/>
    </row>
    <row r="199" spans="2:35" x14ac:dyDescent="0.25">
      <c r="S199" s="35"/>
      <c r="T199" s="842" t="s">
        <v>979</v>
      </c>
      <c r="U199" s="842"/>
      <c r="V199" s="842"/>
      <c r="W199" s="842"/>
      <c r="X199" s="842"/>
      <c r="Y199" s="842"/>
      <c r="Z199" s="842"/>
      <c r="AA199" s="842"/>
      <c r="AB199" s="842"/>
      <c r="AC199" s="842"/>
      <c r="AD199" s="842"/>
      <c r="AE199" s="842"/>
      <c r="AF199" s="842"/>
      <c r="AG199" s="842"/>
      <c r="AH199" s="842"/>
      <c r="AI199" s="842"/>
    </row>
    <row r="202" spans="2:35" x14ac:dyDescent="0.25">
      <c r="B202" s="1068" t="s">
        <v>1238</v>
      </c>
      <c r="C202" s="1068"/>
      <c r="D202" s="1068"/>
      <c r="E202" s="1068"/>
      <c r="F202" s="1068"/>
      <c r="G202" s="1068"/>
      <c r="H202" s="1068"/>
      <c r="I202" s="1068"/>
      <c r="J202" s="1068"/>
    </row>
    <row r="203" spans="2:35" x14ac:dyDescent="0.25">
      <c r="B203" s="1068"/>
      <c r="C203" s="1068"/>
      <c r="D203" s="1068"/>
      <c r="E203" s="1068"/>
      <c r="F203" s="1068"/>
      <c r="G203" s="1068"/>
      <c r="H203" s="1068"/>
      <c r="I203" s="1068"/>
      <c r="J203" s="1068"/>
    </row>
    <row r="204" spans="2:35" x14ac:dyDescent="0.25">
      <c r="B204" s="791" t="s">
        <v>1219</v>
      </c>
      <c r="C204" s="791"/>
      <c r="D204" s="791"/>
      <c r="E204" s="791" t="s">
        <v>1239</v>
      </c>
      <c r="F204" s="791"/>
      <c r="G204" s="791"/>
      <c r="H204" s="791" t="s">
        <v>1240</v>
      </c>
      <c r="I204" s="791"/>
      <c r="J204" s="791"/>
    </row>
    <row r="205" spans="2:35" x14ac:dyDescent="0.25">
      <c r="B205" s="791"/>
      <c r="C205" s="791"/>
      <c r="D205" s="791"/>
      <c r="E205" s="791"/>
      <c r="F205" s="791"/>
      <c r="G205" s="791"/>
      <c r="H205" s="791"/>
      <c r="I205" s="791"/>
      <c r="J205" s="791"/>
    </row>
    <row r="206" spans="2:35" x14ac:dyDescent="0.25">
      <c r="B206" s="847" t="s">
        <v>1224</v>
      </c>
      <c r="C206" s="847"/>
      <c r="D206" s="847"/>
      <c r="E206" s="1067">
        <v>16</v>
      </c>
      <c r="F206" s="1067"/>
      <c r="G206" s="1067"/>
      <c r="H206" s="1067">
        <v>5</v>
      </c>
      <c r="I206" s="1067"/>
      <c r="J206" s="1067"/>
    </row>
    <row r="207" spans="2:35" x14ac:dyDescent="0.25">
      <c r="B207" s="847" t="s">
        <v>1222</v>
      </c>
      <c r="C207" s="847"/>
      <c r="D207" s="847"/>
      <c r="E207" s="1067">
        <v>8</v>
      </c>
      <c r="F207" s="1067"/>
      <c r="G207" s="1067"/>
      <c r="H207" s="1067">
        <v>2</v>
      </c>
      <c r="I207" s="1067"/>
      <c r="J207" s="1067"/>
    </row>
    <row r="208" spans="2:35" x14ac:dyDescent="0.25">
      <c r="B208" s="847" t="s">
        <v>1223</v>
      </c>
      <c r="C208" s="847"/>
      <c r="D208" s="847"/>
      <c r="E208" s="1067">
        <v>12</v>
      </c>
      <c r="F208" s="1067"/>
      <c r="G208" s="1067"/>
      <c r="H208" s="1067">
        <v>3</v>
      </c>
      <c r="I208" s="1067"/>
      <c r="J208" s="1067"/>
    </row>
    <row r="209" spans="2:10" x14ac:dyDescent="0.25">
      <c r="B209" s="918" t="s">
        <v>1225</v>
      </c>
      <c r="C209" s="919"/>
      <c r="D209" s="919"/>
      <c r="E209" s="919"/>
      <c r="F209" s="919"/>
      <c r="G209" s="919"/>
      <c r="H209" s="919"/>
      <c r="I209" s="919"/>
      <c r="J209" s="920"/>
    </row>
  </sheetData>
  <sheetProtection algorithmName="SHA-512" hashValue="DEM21huQV+nUqSGPkM3h5jqyZ7SM0uWh23g+e/FkJ2H3gk/o0l5OGZei4ka+8j6Ts1tyt2p2XNLChC4tpMfnHA==" saltValue="d+qIB4GTU7OmimfRBmJ6xA==" spinCount="100000" sheet="1" objects="1" scenarios="1"/>
  <mergeCells count="1121">
    <mergeCell ref="B206:D206"/>
    <mergeCell ref="E206:G206"/>
    <mergeCell ref="H206:J206"/>
    <mergeCell ref="B207:D207"/>
    <mergeCell ref="E207:G207"/>
    <mergeCell ref="H207:J207"/>
    <mergeCell ref="B208:D208"/>
    <mergeCell ref="E208:G208"/>
    <mergeCell ref="H208:J208"/>
    <mergeCell ref="B209:J209"/>
    <mergeCell ref="AM20:AR22"/>
    <mergeCell ref="AM23:AO24"/>
    <mergeCell ref="AP23:AR24"/>
    <mergeCell ref="AM25:AO25"/>
    <mergeCell ref="AP25:AR25"/>
    <mergeCell ref="AM26:AO26"/>
    <mergeCell ref="AP26:AR26"/>
    <mergeCell ref="AM27:AO27"/>
    <mergeCell ref="AP27:AR27"/>
    <mergeCell ref="AM28:AR28"/>
    <mergeCell ref="B202:J203"/>
    <mergeCell ref="B204:D205"/>
    <mergeCell ref="E204:G205"/>
    <mergeCell ref="H204:J205"/>
    <mergeCell ref="T198:U198"/>
    <mergeCell ref="V198:W198"/>
    <mergeCell ref="X198:Y198"/>
    <mergeCell ref="Z198:AA198"/>
    <mergeCell ref="T189:U189"/>
    <mergeCell ref="T190:U190"/>
    <mergeCell ref="T191:U191"/>
    <mergeCell ref="T192:U192"/>
    <mergeCell ref="T193:U193"/>
    <mergeCell ref="V190:W190"/>
    <mergeCell ref="X190:Y190"/>
    <mergeCell ref="Z190:AA190"/>
    <mergeCell ref="V192:W192"/>
    <mergeCell ref="X192:Y192"/>
    <mergeCell ref="Z192:AA192"/>
    <mergeCell ref="T194:U194"/>
    <mergeCell ref="T195:U195"/>
    <mergeCell ref="T196:U196"/>
    <mergeCell ref="T197:U197"/>
    <mergeCell ref="V194:W194"/>
    <mergeCell ref="X194:Y194"/>
    <mergeCell ref="Z194:AA194"/>
    <mergeCell ref="V196:W196"/>
    <mergeCell ref="X196:Y196"/>
    <mergeCell ref="Z196:AA196"/>
    <mergeCell ref="V193:W193"/>
    <mergeCell ref="X193:Y193"/>
    <mergeCell ref="Z193:AA193"/>
    <mergeCell ref="K194:L194"/>
    <mergeCell ref="M194:R194"/>
    <mergeCell ref="K195:L195"/>
    <mergeCell ref="M195:R195"/>
    <mergeCell ref="K196:L196"/>
    <mergeCell ref="M196:R196"/>
    <mergeCell ref="K197:L197"/>
    <mergeCell ref="M197:R197"/>
    <mergeCell ref="K198:R198"/>
    <mergeCell ref="T179:U179"/>
    <mergeCell ref="T180:U180"/>
    <mergeCell ref="T181:U181"/>
    <mergeCell ref="T182:U182"/>
    <mergeCell ref="T183:U183"/>
    <mergeCell ref="V180:W180"/>
    <mergeCell ref="X180:Y180"/>
    <mergeCell ref="Z180:AA180"/>
    <mergeCell ref="V182:W182"/>
    <mergeCell ref="X182:Y182"/>
    <mergeCell ref="Z182:AA182"/>
    <mergeCell ref="T184:U184"/>
    <mergeCell ref="T185:U185"/>
    <mergeCell ref="T186:U186"/>
    <mergeCell ref="T187:U187"/>
    <mergeCell ref="T188:U188"/>
    <mergeCell ref="V184:W184"/>
    <mergeCell ref="X184:Y184"/>
    <mergeCell ref="Z184:AA184"/>
    <mergeCell ref="V186:W186"/>
    <mergeCell ref="X186:Y186"/>
    <mergeCell ref="Z186:AA186"/>
    <mergeCell ref="V188:W188"/>
    <mergeCell ref="K186:L186"/>
    <mergeCell ref="M186:R186"/>
    <mergeCell ref="K187:L187"/>
    <mergeCell ref="M187:R187"/>
    <mergeCell ref="K188:L188"/>
    <mergeCell ref="M188:R188"/>
    <mergeCell ref="K189:L189"/>
    <mergeCell ref="M189:R189"/>
    <mergeCell ref="K190:L190"/>
    <mergeCell ref="M190:R190"/>
    <mergeCell ref="K191:L191"/>
    <mergeCell ref="M191:R191"/>
    <mergeCell ref="K192:L192"/>
    <mergeCell ref="M192:R192"/>
    <mergeCell ref="K193:L193"/>
    <mergeCell ref="M193:R193"/>
    <mergeCell ref="K181:L181"/>
    <mergeCell ref="M181:R181"/>
    <mergeCell ref="K182:L182"/>
    <mergeCell ref="M182:R182"/>
    <mergeCell ref="K183:L183"/>
    <mergeCell ref="M183:R183"/>
    <mergeCell ref="K184:L184"/>
    <mergeCell ref="M184:R184"/>
    <mergeCell ref="K185:L185"/>
    <mergeCell ref="M185:R185"/>
    <mergeCell ref="K176:L176"/>
    <mergeCell ref="M176:R176"/>
    <mergeCell ref="D184:I184"/>
    <mergeCell ref="X91:Y91"/>
    <mergeCell ref="X92:Y92"/>
    <mergeCell ref="L163:M163"/>
    <mergeCell ref="L162:M162"/>
    <mergeCell ref="T164:V164"/>
    <mergeCell ref="T163:V163"/>
    <mergeCell ref="T162:V162"/>
    <mergeCell ref="R162:S162"/>
    <mergeCell ref="R163:S163"/>
    <mergeCell ref="R164:S164"/>
    <mergeCell ref="P164:Q164"/>
    <mergeCell ref="U152:U155"/>
    <mergeCell ref="M155:S155"/>
    <mergeCell ref="M154:S154"/>
    <mergeCell ref="M153:S153"/>
    <mergeCell ref="M152:S152"/>
    <mergeCell ref="T171:U171"/>
    <mergeCell ref="G152:I152"/>
    <mergeCell ref="D162:F162"/>
    <mergeCell ref="D163:F163"/>
    <mergeCell ref="B136:G137"/>
    <mergeCell ref="B139:G139"/>
    <mergeCell ref="E138:G138"/>
    <mergeCell ref="B138:D138"/>
    <mergeCell ref="V130:X130"/>
    <mergeCell ref="R129:T129"/>
    <mergeCell ref="B123:M124"/>
    <mergeCell ref="I126:M127"/>
    <mergeCell ref="I130:K130"/>
    <mergeCell ref="X73:Y73"/>
    <mergeCell ref="X74:Y74"/>
    <mergeCell ref="X75:Y75"/>
    <mergeCell ref="X76:Y76"/>
    <mergeCell ref="X77:Y77"/>
    <mergeCell ref="X78:Y78"/>
    <mergeCell ref="X79:Y79"/>
    <mergeCell ref="X80:Y80"/>
    <mergeCell ref="X81:Y81"/>
    <mergeCell ref="K170:L170"/>
    <mergeCell ref="M170:R170"/>
    <mergeCell ref="K171:L171"/>
    <mergeCell ref="M171:R171"/>
    <mergeCell ref="K172:L172"/>
    <mergeCell ref="M172:R172"/>
    <mergeCell ref="K173:L173"/>
    <mergeCell ref="M173:R173"/>
    <mergeCell ref="T139:X139"/>
    <mergeCell ref="V134:AD134"/>
    <mergeCell ref="T140:X140"/>
    <mergeCell ref="T143:X143"/>
    <mergeCell ref="T144:X144"/>
    <mergeCell ref="L166:V166"/>
    <mergeCell ref="N165:V165"/>
    <mergeCell ref="X109:Y109"/>
    <mergeCell ref="X110:Y110"/>
    <mergeCell ref="V105:W105"/>
    <mergeCell ref="V107:W107"/>
    <mergeCell ref="V108:W108"/>
    <mergeCell ref="V109:W109"/>
    <mergeCell ref="V126:AD126"/>
    <mergeCell ref="X83:Y83"/>
    <mergeCell ref="D185:I185"/>
    <mergeCell ref="D186:I186"/>
    <mergeCell ref="D187:I187"/>
    <mergeCell ref="D188:I188"/>
    <mergeCell ref="D189:I189"/>
    <mergeCell ref="L128:M128"/>
    <mergeCell ref="L129:M129"/>
    <mergeCell ref="B130:G130"/>
    <mergeCell ref="F129:G129"/>
    <mergeCell ref="F128:G128"/>
    <mergeCell ref="B129:E129"/>
    <mergeCell ref="L130:M130"/>
    <mergeCell ref="O130:T130"/>
    <mergeCell ref="T136:AC136"/>
    <mergeCell ref="AB140:AB141"/>
    <mergeCell ref="AB138:AB139"/>
    <mergeCell ref="T138:X138"/>
    <mergeCell ref="V131:X131"/>
    <mergeCell ref="AC131:AD131"/>
    <mergeCell ref="AA131:AB131"/>
    <mergeCell ref="K169:R169"/>
    <mergeCell ref="K174:L174"/>
    <mergeCell ref="M174:R174"/>
    <mergeCell ref="K175:L175"/>
    <mergeCell ref="M175:R175"/>
    <mergeCell ref="V133:AD133"/>
    <mergeCell ref="V128:X128"/>
    <mergeCell ref="B166:I166"/>
    <mergeCell ref="D164:F164"/>
    <mergeCell ref="D165:F165"/>
    <mergeCell ref="B152:C152"/>
    <mergeCell ref="D152:F152"/>
    <mergeCell ref="D190:I190"/>
    <mergeCell ref="D191:I191"/>
    <mergeCell ref="D192:I192"/>
    <mergeCell ref="D193:I193"/>
    <mergeCell ref="R64:W64"/>
    <mergeCell ref="R65:W65"/>
    <mergeCell ref="T177:U177"/>
    <mergeCell ref="T178:U178"/>
    <mergeCell ref="V174:W174"/>
    <mergeCell ref="X174:Y174"/>
    <mergeCell ref="AC142:AC144"/>
    <mergeCell ref="T142:X142"/>
    <mergeCell ref="Y152:AA152"/>
    <mergeCell ref="Y151:AA151"/>
    <mergeCell ref="AB151:AC151"/>
    <mergeCell ref="AB152:AC152"/>
    <mergeCell ref="T151:U151"/>
    <mergeCell ref="N163:O163"/>
    <mergeCell ref="N164:O164"/>
    <mergeCell ref="L165:M165"/>
    <mergeCell ref="T170:U170"/>
    <mergeCell ref="L164:M164"/>
    <mergeCell ref="T172:U172"/>
    <mergeCell ref="T173:U173"/>
    <mergeCell ref="T174:U174"/>
    <mergeCell ref="T175:U175"/>
    <mergeCell ref="T176:U176"/>
    <mergeCell ref="I143:K145"/>
    <mergeCell ref="I140:K142"/>
    <mergeCell ref="I137:K139"/>
    <mergeCell ref="I136:Q136"/>
    <mergeCell ref="B128:E128"/>
    <mergeCell ref="B198:I198"/>
    <mergeCell ref="D194:I194"/>
    <mergeCell ref="D195:I195"/>
    <mergeCell ref="D196:I196"/>
    <mergeCell ref="D197:I197"/>
    <mergeCell ref="B169:I169"/>
    <mergeCell ref="D172:I172"/>
    <mergeCell ref="D173:I173"/>
    <mergeCell ref="D174:I174"/>
    <mergeCell ref="D175:I175"/>
    <mergeCell ref="D176:I176"/>
    <mergeCell ref="D177:I177"/>
    <mergeCell ref="D178:I178"/>
    <mergeCell ref="D179:I179"/>
    <mergeCell ref="D171:I171"/>
    <mergeCell ref="D170:I170"/>
    <mergeCell ref="B170:C170"/>
    <mergeCell ref="D180:I180"/>
    <mergeCell ref="D181:I181"/>
    <mergeCell ref="D182:I182"/>
    <mergeCell ref="D183:I183"/>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Y139:Z139"/>
    <mergeCell ref="Y138:Z138"/>
    <mergeCell ref="AC138:AC139"/>
    <mergeCell ref="AC140:AC141"/>
    <mergeCell ref="I129:K129"/>
    <mergeCell ref="B171:C171"/>
    <mergeCell ref="B172:C172"/>
    <mergeCell ref="B173:C173"/>
    <mergeCell ref="B174:C174"/>
    <mergeCell ref="B175:C175"/>
    <mergeCell ref="B176:C176"/>
    <mergeCell ref="B177:C177"/>
    <mergeCell ref="B178:C178"/>
    <mergeCell ref="B179:C179"/>
    <mergeCell ref="B180:C180"/>
    <mergeCell ref="K177:L177"/>
    <mergeCell ref="M177:R177"/>
    <mergeCell ref="K178:L178"/>
    <mergeCell ref="M178:R178"/>
    <mergeCell ref="K179:L179"/>
    <mergeCell ref="M179:R179"/>
    <mergeCell ref="K180:L180"/>
    <mergeCell ref="M180:R180"/>
    <mergeCell ref="V172:W172"/>
    <mergeCell ref="X172:Y172"/>
    <mergeCell ref="Z172:AA172"/>
    <mergeCell ref="B58:I58"/>
    <mergeCell ref="G52:I52"/>
    <mergeCell ref="G54:I54"/>
    <mergeCell ref="B118:C118"/>
    <mergeCell ref="B102:C102"/>
    <mergeCell ref="B103:C103"/>
    <mergeCell ref="B104:C104"/>
    <mergeCell ref="B105:C105"/>
    <mergeCell ref="B106:C106"/>
    <mergeCell ref="T103:U103"/>
    <mergeCell ref="T102:U102"/>
    <mergeCell ref="Q99:S99"/>
    <mergeCell ref="Q100:S100"/>
    <mergeCell ref="T107:U107"/>
    <mergeCell ref="T106:U106"/>
    <mergeCell ref="T105:U105"/>
    <mergeCell ref="B112:C112"/>
    <mergeCell ref="T104:U104"/>
    <mergeCell ref="B107:C107"/>
    <mergeCell ref="T101:U101"/>
    <mergeCell ref="T100:U100"/>
    <mergeCell ref="C57:E57"/>
    <mergeCell ref="R69:W71"/>
    <mergeCell ref="K58:M58"/>
    <mergeCell ref="K57:M57"/>
    <mergeCell ref="N58:P58"/>
    <mergeCell ref="C56:E56"/>
    <mergeCell ref="G56:I56"/>
    <mergeCell ref="B116:C116"/>
    <mergeCell ref="X84:Y84"/>
    <mergeCell ref="X66:Y66"/>
    <mergeCell ref="R94:AI94"/>
    <mergeCell ref="X64:Y64"/>
    <mergeCell ref="B113:C113"/>
    <mergeCell ref="B114:C114"/>
    <mergeCell ref="B115:C115"/>
    <mergeCell ref="B117:C117"/>
    <mergeCell ref="Z103:AA103"/>
    <mergeCell ref="Y129:Z129"/>
    <mergeCell ref="V101:W101"/>
    <mergeCell ref="AB110:AC110"/>
    <mergeCell ref="Z109:AA109"/>
    <mergeCell ref="Z107:AA107"/>
    <mergeCell ref="Z108:AA108"/>
    <mergeCell ref="Z102:AA102"/>
    <mergeCell ref="X82:Y82"/>
    <mergeCell ref="B126:G127"/>
    <mergeCell ref="B121:C121"/>
    <mergeCell ref="B122:C122"/>
    <mergeCell ref="T110:U110"/>
    <mergeCell ref="T109:U109"/>
    <mergeCell ref="T108:U108"/>
    <mergeCell ref="V129:X129"/>
    <mergeCell ref="Q101:S101"/>
    <mergeCell ref="V106:W106"/>
    <mergeCell ref="B108:C108"/>
    <mergeCell ref="B109:C109"/>
    <mergeCell ref="B110:C110"/>
    <mergeCell ref="O129:Q129"/>
    <mergeCell ref="X72:Y72"/>
    <mergeCell ref="I128:K128"/>
    <mergeCell ref="W41:AD41"/>
    <mergeCell ref="T41:V42"/>
    <mergeCell ref="W42:X42"/>
    <mergeCell ref="G49:I49"/>
    <mergeCell ref="AC43:AD43"/>
    <mergeCell ref="AC44:AD44"/>
    <mergeCell ref="AC45:AD45"/>
    <mergeCell ref="AC46:AD46"/>
    <mergeCell ref="G51:I51"/>
    <mergeCell ref="Y42:Z42"/>
    <mergeCell ref="W43:X43"/>
    <mergeCell ref="W44:X44"/>
    <mergeCell ref="W45:X45"/>
    <mergeCell ref="W46:X46"/>
    <mergeCell ref="Y43:Z43"/>
    <mergeCell ref="Y44:Z44"/>
    <mergeCell ref="F42:I42"/>
    <mergeCell ref="AD55:AF55"/>
    <mergeCell ref="AD54:AF54"/>
    <mergeCell ref="C45:E45"/>
    <mergeCell ref="AA43:AB43"/>
    <mergeCell ref="AF45:AI45"/>
    <mergeCell ref="AK153:AM153"/>
    <mergeCell ref="AH151:AJ151"/>
    <mergeCell ref="Y150:AA150"/>
    <mergeCell ref="AK164:AM164"/>
    <mergeCell ref="AK165:AM165"/>
    <mergeCell ref="AH165:AJ165"/>
    <mergeCell ref="AH164:AJ164"/>
    <mergeCell ref="AH162:AM162"/>
    <mergeCell ref="Y158:AA158"/>
    <mergeCell ref="Y157:AA157"/>
    <mergeCell ref="Y156:AA156"/>
    <mergeCell ref="Y155:AA155"/>
    <mergeCell ref="Y159:AA159"/>
    <mergeCell ref="AB156:AC156"/>
    <mergeCell ref="AB157:AC157"/>
    <mergeCell ref="AD155:AE155"/>
    <mergeCell ref="AD158:AE158"/>
    <mergeCell ref="AD157:AE157"/>
    <mergeCell ref="AD156:AE156"/>
    <mergeCell ref="AH155:AJ155"/>
    <mergeCell ref="AF156:AG156"/>
    <mergeCell ref="AF157:AG157"/>
    <mergeCell ref="AF158:AG158"/>
    <mergeCell ref="AK158:AM158"/>
    <mergeCell ref="AK157:AM157"/>
    <mergeCell ref="AK156:AM156"/>
    <mergeCell ref="AH157:AJ157"/>
    <mergeCell ref="AH156:AJ156"/>
    <mergeCell ref="AB155:AC155"/>
    <mergeCell ref="Y154:AA154"/>
    <mergeCell ref="Y153:AA153"/>
    <mergeCell ref="AH152:AJ152"/>
    <mergeCell ref="AH158:AJ158"/>
    <mergeCell ref="AF152:AG152"/>
    <mergeCell ref="AB153:AC153"/>
    <mergeCell ref="AB154:AC154"/>
    <mergeCell ref="AD152:AE152"/>
    <mergeCell ref="AD154:AE154"/>
    <mergeCell ref="AD153:AE153"/>
    <mergeCell ref="AF153:AG153"/>
    <mergeCell ref="AH154:AJ154"/>
    <mergeCell ref="N162:O162"/>
    <mergeCell ref="D154:F154"/>
    <mergeCell ref="B150:C150"/>
    <mergeCell ref="D150:I150"/>
    <mergeCell ref="G151:I151"/>
    <mergeCell ref="D151:F151"/>
    <mergeCell ref="B151:C151"/>
    <mergeCell ref="L160:V160"/>
    <mergeCell ref="M156:U156"/>
    <mergeCell ref="L161:M161"/>
    <mergeCell ref="N161:V161"/>
    <mergeCell ref="M151:S151"/>
    <mergeCell ref="M150:S150"/>
    <mergeCell ref="D153:F153"/>
    <mergeCell ref="T150:U150"/>
    <mergeCell ref="G156:I156"/>
    <mergeCell ref="G155:I155"/>
    <mergeCell ref="D155:F155"/>
    <mergeCell ref="D157:F157"/>
    <mergeCell ref="D156:F156"/>
    <mergeCell ref="D161:F161"/>
    <mergeCell ref="G154:I154"/>
    <mergeCell ref="G153:I153"/>
    <mergeCell ref="B156:C156"/>
    <mergeCell ref="B155:C155"/>
    <mergeCell ref="B154:C154"/>
    <mergeCell ref="B153:C153"/>
    <mergeCell ref="D160:F160"/>
    <mergeCell ref="D159:F159"/>
    <mergeCell ref="D158:F158"/>
    <mergeCell ref="G165:I165"/>
    <mergeCell ref="G164:I164"/>
    <mergeCell ref="G163:I163"/>
    <mergeCell ref="G162:I162"/>
    <mergeCell ref="G161:I161"/>
    <mergeCell ref="G160:I160"/>
    <mergeCell ref="G159:I159"/>
    <mergeCell ref="G158:I158"/>
    <mergeCell ref="G157:I157"/>
    <mergeCell ref="B161:C161"/>
    <mergeCell ref="B160:C160"/>
    <mergeCell ref="B159:C159"/>
    <mergeCell ref="B158:C158"/>
    <mergeCell ref="B157:C157"/>
    <mergeCell ref="B165:C165"/>
    <mergeCell ref="B164:C164"/>
    <mergeCell ref="B163:C163"/>
    <mergeCell ref="B162:C162"/>
    <mergeCell ref="AF139:AM139"/>
    <mergeCell ref="I131:M132"/>
    <mergeCell ref="AG132:AM133"/>
    <mergeCell ref="B149:I149"/>
    <mergeCell ref="L145:M145"/>
    <mergeCell ref="P140:Q145"/>
    <mergeCell ref="P137:Q139"/>
    <mergeCell ref="L140:M140"/>
    <mergeCell ref="L141:M141"/>
    <mergeCell ref="L142:M142"/>
    <mergeCell ref="L143:M143"/>
    <mergeCell ref="L144:M144"/>
    <mergeCell ref="N139:O139"/>
    <mergeCell ref="N138:O138"/>
    <mergeCell ref="N137:O137"/>
    <mergeCell ref="L137:M137"/>
    <mergeCell ref="L138:M138"/>
    <mergeCell ref="L139:M139"/>
    <mergeCell ref="N145:O145"/>
    <mergeCell ref="N144:O144"/>
    <mergeCell ref="N143:O143"/>
    <mergeCell ref="N142:O142"/>
    <mergeCell ref="N141:O141"/>
    <mergeCell ref="N140:O140"/>
    <mergeCell ref="M149:U149"/>
    <mergeCell ref="I146:Q146"/>
    <mergeCell ref="T141:X141"/>
    <mergeCell ref="Y144:Z144"/>
    <mergeCell ref="Y143:Z143"/>
    <mergeCell ref="Y142:Z142"/>
    <mergeCell ref="T145:AC145"/>
    <mergeCell ref="AB142:AB144"/>
    <mergeCell ref="B120:C120"/>
    <mergeCell ref="B111:C111"/>
    <mergeCell ref="AB107:AC107"/>
    <mergeCell ref="AB108:AC108"/>
    <mergeCell ref="AB109:AC109"/>
    <mergeCell ref="AA128:AB128"/>
    <mergeCell ref="Y128:Z128"/>
    <mergeCell ref="V110:W110"/>
    <mergeCell ref="X107:Y107"/>
    <mergeCell ref="X108:Y108"/>
    <mergeCell ref="X111:Y111"/>
    <mergeCell ref="V111:W111"/>
    <mergeCell ref="Z104:AA104"/>
    <mergeCell ref="Z105:AA105"/>
    <mergeCell ref="Z106:AA106"/>
    <mergeCell ref="X104:Y104"/>
    <mergeCell ref="X105:Y105"/>
    <mergeCell ref="X106:Y106"/>
    <mergeCell ref="Z110:AA110"/>
    <mergeCell ref="AH106:AI106"/>
    <mergeCell ref="AD107:AE107"/>
    <mergeCell ref="AD108:AE108"/>
    <mergeCell ref="AD109:AE109"/>
    <mergeCell ref="AD110:AE110"/>
    <mergeCell ref="AF107:AG107"/>
    <mergeCell ref="AF108:AG108"/>
    <mergeCell ref="AF109:AG109"/>
    <mergeCell ref="AB103:AC103"/>
    <mergeCell ref="AF110:AG110"/>
    <mergeCell ref="AH107:AI107"/>
    <mergeCell ref="AH108:AI108"/>
    <mergeCell ref="AF105:AG105"/>
    <mergeCell ref="AF106:AG106"/>
    <mergeCell ref="X103:Y103"/>
    <mergeCell ref="T111:U111"/>
    <mergeCell ref="B119:C119"/>
    <mergeCell ref="AF26:AK26"/>
    <mergeCell ref="AH23:AI23"/>
    <mergeCell ref="AJ23:AK23"/>
    <mergeCell ref="AH24:AI24"/>
    <mergeCell ref="AJ24:AK24"/>
    <mergeCell ref="AH25:AI25"/>
    <mergeCell ref="AJ25:AK25"/>
    <mergeCell ref="K56:M56"/>
    <mergeCell ref="X55:Y55"/>
    <mergeCell ref="X54:Y54"/>
    <mergeCell ref="AD56:AF56"/>
    <mergeCell ref="T56:Y56"/>
    <mergeCell ref="R66:W68"/>
    <mergeCell ref="X85:Y85"/>
    <mergeCell ref="X86:Y86"/>
    <mergeCell ref="X87:Y87"/>
    <mergeCell ref="P97:P98"/>
    <mergeCell ref="Q97:S98"/>
    <mergeCell ref="I66:M66"/>
    <mergeCell ref="N66:P66"/>
    <mergeCell ref="AC42:AD42"/>
    <mergeCell ref="AA42:AB42"/>
    <mergeCell ref="G55:I55"/>
    <mergeCell ref="K54:M54"/>
    <mergeCell ref="K53:M53"/>
    <mergeCell ref="T40:AD40"/>
    <mergeCell ref="AD50:AL51"/>
    <mergeCell ref="AJ56:AL56"/>
    <mergeCell ref="AJ55:AL55"/>
    <mergeCell ref="AI37:AK37"/>
    <mergeCell ref="AF38:AK38"/>
    <mergeCell ref="AF28:AK30"/>
    <mergeCell ref="AF33:AH33"/>
    <mergeCell ref="C51:E51"/>
    <mergeCell ref="AI31:AK32"/>
    <mergeCell ref="AF31:AH32"/>
    <mergeCell ref="K51:M52"/>
    <mergeCell ref="T52:W52"/>
    <mergeCell ref="K55:M55"/>
    <mergeCell ref="K49:P50"/>
    <mergeCell ref="C49:E49"/>
    <mergeCell ref="G53:I53"/>
    <mergeCell ref="P46:R46"/>
    <mergeCell ref="N51:P52"/>
    <mergeCell ref="N53:P53"/>
    <mergeCell ref="C48:E48"/>
    <mergeCell ref="Y45:Z45"/>
    <mergeCell ref="Y46:Z46"/>
    <mergeCell ref="B34:E34"/>
    <mergeCell ref="G33:I33"/>
    <mergeCell ref="G34:I34"/>
    <mergeCell ref="J31:K31"/>
    <mergeCell ref="J32:K32"/>
    <mergeCell ref="B31:E31"/>
    <mergeCell ref="B35:K37"/>
    <mergeCell ref="M32:V32"/>
    <mergeCell ref="G45:I45"/>
    <mergeCell ref="J34:K34"/>
    <mergeCell ref="AJ52:AL53"/>
    <mergeCell ref="AG52:AI53"/>
    <mergeCell ref="C47:E47"/>
    <mergeCell ref="AI34:AK34"/>
    <mergeCell ref="AI35:AK35"/>
    <mergeCell ref="AI36:AK36"/>
    <mergeCell ref="J27:K27"/>
    <mergeCell ref="P45:R45"/>
    <mergeCell ref="P44:R44"/>
    <mergeCell ref="K40:R41"/>
    <mergeCell ref="K42:O43"/>
    <mergeCell ref="P42:R43"/>
    <mergeCell ref="J25:K25"/>
    <mergeCell ref="J24:K24"/>
    <mergeCell ref="J23:K23"/>
    <mergeCell ref="G23:I23"/>
    <mergeCell ref="G25:I25"/>
    <mergeCell ref="G26:I26"/>
    <mergeCell ref="G27:I27"/>
    <mergeCell ref="G28:I28"/>
    <mergeCell ref="G29:I29"/>
    <mergeCell ref="G30:I30"/>
    <mergeCell ref="N25:T25"/>
    <mergeCell ref="N26:T26"/>
    <mergeCell ref="N27:T27"/>
    <mergeCell ref="G31:I31"/>
    <mergeCell ref="G32:I32"/>
    <mergeCell ref="J33:K33"/>
    <mergeCell ref="AF34:AH34"/>
    <mergeCell ref="AF111:AG111"/>
    <mergeCell ref="M20:V20"/>
    <mergeCell ref="N21:T21"/>
    <mergeCell ref="N31:T31"/>
    <mergeCell ref="N28:T28"/>
    <mergeCell ref="N29:T29"/>
    <mergeCell ref="N30:T30"/>
    <mergeCell ref="J21:K21"/>
    <mergeCell ref="B30:E30"/>
    <mergeCell ref="B27:E27"/>
    <mergeCell ref="B28:E28"/>
    <mergeCell ref="B29:E29"/>
    <mergeCell ref="G24:I24"/>
    <mergeCell ref="B24:E24"/>
    <mergeCell ref="G21:I21"/>
    <mergeCell ref="G22:I22"/>
    <mergeCell ref="B20:K20"/>
    <mergeCell ref="B25:E25"/>
    <mergeCell ref="B23:E23"/>
    <mergeCell ref="B22:E22"/>
    <mergeCell ref="B21:E21"/>
    <mergeCell ref="N22:T22"/>
    <mergeCell ref="N23:T23"/>
    <mergeCell ref="N24:T24"/>
    <mergeCell ref="B32:E32"/>
    <mergeCell ref="B33:E33"/>
    <mergeCell ref="J30:K30"/>
    <mergeCell ref="J26:K26"/>
    <mergeCell ref="B26:E26"/>
    <mergeCell ref="J29:K29"/>
    <mergeCell ref="J28:K28"/>
    <mergeCell ref="C43:E44"/>
    <mergeCell ref="B42:E42"/>
    <mergeCell ref="B40:I41"/>
    <mergeCell ref="AJ106:AK106"/>
    <mergeCell ref="AJ107:AK107"/>
    <mergeCell ref="AJ108:AK108"/>
    <mergeCell ref="AJ100:AK100"/>
    <mergeCell ref="AJ101:AK101"/>
    <mergeCell ref="AJ102:AK102"/>
    <mergeCell ref="AJ103:AK103"/>
    <mergeCell ref="AJ104:AK104"/>
    <mergeCell ref="V104:W104"/>
    <mergeCell ref="B2:AM2"/>
    <mergeCell ref="B3:AM3"/>
    <mergeCell ref="T137:X137"/>
    <mergeCell ref="Y137:AA137"/>
    <mergeCell ref="AB137:AC137"/>
    <mergeCell ref="O128:Q128"/>
    <mergeCell ref="R128:T128"/>
    <mergeCell ref="V127:X127"/>
    <mergeCell ref="Y127:AD127"/>
    <mergeCell ref="AF137:AJ137"/>
    <mergeCell ref="AK137:AM137"/>
    <mergeCell ref="AL107:AM107"/>
    <mergeCell ref="AL108:AM108"/>
    <mergeCell ref="AL109:AM109"/>
    <mergeCell ref="AL110:AM110"/>
    <mergeCell ref="P96:AM96"/>
    <mergeCell ref="AL98:AM98"/>
    <mergeCell ref="AL99:AM99"/>
    <mergeCell ref="AB105:AC105"/>
    <mergeCell ref="AF37:AH37"/>
    <mergeCell ref="J22:K22"/>
    <mergeCell ref="AF151:AG151"/>
    <mergeCell ref="AK152:AM152"/>
    <mergeCell ref="AK151:AM151"/>
    <mergeCell ref="AD151:AE151"/>
    <mergeCell ref="AH153:AJ153"/>
    <mergeCell ref="Y141:Z141"/>
    <mergeCell ref="Y140:Z140"/>
    <mergeCell ref="AB158:AC158"/>
    <mergeCell ref="AH111:AI111"/>
    <mergeCell ref="AL128:AM128"/>
    <mergeCell ref="AG131:AK131"/>
    <mergeCell ref="AC130:AD130"/>
    <mergeCell ref="AC129:AD129"/>
    <mergeCell ref="AA130:AB130"/>
    <mergeCell ref="AA129:AB129"/>
    <mergeCell ref="P112:AM112"/>
    <mergeCell ref="AL129:AM129"/>
    <mergeCell ref="Y130:Z130"/>
    <mergeCell ref="O126:T127"/>
    <mergeCell ref="AC128:AD128"/>
    <mergeCell ref="AG126:AM127"/>
    <mergeCell ref="Y131:Z131"/>
    <mergeCell ref="AF136:AM136"/>
    <mergeCell ref="AF138:AJ138"/>
    <mergeCell ref="AG128:AK128"/>
    <mergeCell ref="AJ111:AK111"/>
    <mergeCell ref="AL111:AM111"/>
    <mergeCell ref="AL131:AM131"/>
    <mergeCell ref="X22:Z23"/>
    <mergeCell ref="AF36:AH36"/>
    <mergeCell ref="AF35:AH35"/>
    <mergeCell ref="AL130:AM130"/>
    <mergeCell ref="AB111:AC111"/>
    <mergeCell ref="Z111:AA111"/>
    <mergeCell ref="AD111:AE111"/>
    <mergeCell ref="AD103:AE103"/>
    <mergeCell ref="AF98:AG98"/>
    <mergeCell ref="T97:AM97"/>
    <mergeCell ref="T98:U98"/>
    <mergeCell ref="AF99:AG99"/>
    <mergeCell ref="AB99:AC99"/>
    <mergeCell ref="AD100:AE100"/>
    <mergeCell ref="AD101:AE101"/>
    <mergeCell ref="AB100:AC100"/>
    <mergeCell ref="X100:Y100"/>
    <mergeCell ref="X101:Y101"/>
    <mergeCell ref="V103:W103"/>
    <mergeCell ref="AH100:AI100"/>
    <mergeCell ref="AH101:AI101"/>
    <mergeCell ref="AH102:AI102"/>
    <mergeCell ref="AL103:AM103"/>
    <mergeCell ref="AL104:AM104"/>
    <mergeCell ref="AH103:AI103"/>
    <mergeCell ref="AH104:AI104"/>
    <mergeCell ref="AL100:AM100"/>
    <mergeCell ref="AL101:AM101"/>
    <mergeCell ref="AL102:AM102"/>
    <mergeCell ref="AH105:AI105"/>
    <mergeCell ref="AD104:AE104"/>
    <mergeCell ref="AD105:AE105"/>
    <mergeCell ref="AD106:AE106"/>
    <mergeCell ref="AB106:AC106"/>
    <mergeCell ref="AB104:AC104"/>
    <mergeCell ref="X71:Y71"/>
    <mergeCell ref="B83:E84"/>
    <mergeCell ref="AD98:AE98"/>
    <mergeCell ref="AD99:AE99"/>
    <mergeCell ref="AL105:AM105"/>
    <mergeCell ref="AL106:AM106"/>
    <mergeCell ref="AJ98:AK98"/>
    <mergeCell ref="AJ99:AK99"/>
    <mergeCell ref="AJ109:AK109"/>
    <mergeCell ref="AJ110:AK110"/>
    <mergeCell ref="AH98:AI98"/>
    <mergeCell ref="AH99:AI99"/>
    <mergeCell ref="AF100:AG100"/>
    <mergeCell ref="V102:W102"/>
    <mergeCell ref="X102:Y102"/>
    <mergeCell ref="V99:W99"/>
    <mergeCell ref="V100:W100"/>
    <mergeCell ref="Z98:AA98"/>
    <mergeCell ref="X98:Y98"/>
    <mergeCell ref="X99:Y99"/>
    <mergeCell ref="Z99:AA99"/>
    <mergeCell ref="Z100:AA100"/>
    <mergeCell ref="Z101:AA101"/>
    <mergeCell ref="R81:W83"/>
    <mergeCell ref="R78:W80"/>
    <mergeCell ref="R75:W77"/>
    <mergeCell ref="R72:W74"/>
    <mergeCell ref="AF101:AG101"/>
    <mergeCell ref="AF102:AG102"/>
    <mergeCell ref="AF103:AG103"/>
    <mergeCell ref="AF104:AG104"/>
    <mergeCell ref="AD102:AE102"/>
    <mergeCell ref="C46:E46"/>
    <mergeCell ref="G46:I46"/>
    <mergeCell ref="C50:E50"/>
    <mergeCell ref="G50:I50"/>
    <mergeCell ref="C52:E52"/>
    <mergeCell ref="T47:AD47"/>
    <mergeCell ref="C53:E53"/>
    <mergeCell ref="C55:E55"/>
    <mergeCell ref="G57:I57"/>
    <mergeCell ref="C54:E54"/>
    <mergeCell ref="K44:O44"/>
    <mergeCell ref="K45:O45"/>
    <mergeCell ref="K46:O46"/>
    <mergeCell ref="K47:R47"/>
    <mergeCell ref="AD57:AL57"/>
    <mergeCell ref="B64:B65"/>
    <mergeCell ref="C64:E64"/>
    <mergeCell ref="T50:Y51"/>
    <mergeCell ref="G47:I47"/>
    <mergeCell ref="AA44:AB44"/>
    <mergeCell ref="AA45:AB45"/>
    <mergeCell ref="AA46:AB46"/>
    <mergeCell ref="AD52:AF53"/>
    <mergeCell ref="X53:Y53"/>
    <mergeCell ref="AG54:AI54"/>
    <mergeCell ref="AG55:AI55"/>
    <mergeCell ref="AG56:AI56"/>
    <mergeCell ref="B62:E63"/>
    <mergeCell ref="X52:Y52"/>
    <mergeCell ref="G48:I48"/>
    <mergeCell ref="AF47:AL47"/>
    <mergeCell ref="X65:Y65"/>
    <mergeCell ref="X20:AD21"/>
    <mergeCell ref="X31:AD31"/>
    <mergeCell ref="F43:F44"/>
    <mergeCell ref="B43:B44"/>
    <mergeCell ref="G43:I44"/>
    <mergeCell ref="AJ44:AL44"/>
    <mergeCell ref="AI33:AK33"/>
    <mergeCell ref="AF20:AK21"/>
    <mergeCell ref="AF22:AI22"/>
    <mergeCell ref="AJ22:AK22"/>
    <mergeCell ref="B100:C100"/>
    <mergeCell ref="B101:C101"/>
    <mergeCell ref="I62:P62"/>
    <mergeCell ref="I64:M64"/>
    <mergeCell ref="I65:M65"/>
    <mergeCell ref="N65:P65"/>
    <mergeCell ref="B96:M96"/>
    <mergeCell ref="D97:M97"/>
    <mergeCell ref="N64:P64"/>
    <mergeCell ref="N63:P63"/>
    <mergeCell ref="B99:C99"/>
    <mergeCell ref="I67:M67"/>
    <mergeCell ref="I68:M69"/>
    <mergeCell ref="N68:P69"/>
    <mergeCell ref="N67:P67"/>
    <mergeCell ref="I71:P71"/>
    <mergeCell ref="I70:P70"/>
    <mergeCell ref="B97:C98"/>
    <mergeCell ref="X88:Y88"/>
    <mergeCell ref="X89:Y89"/>
    <mergeCell ref="X90:Y90"/>
    <mergeCell ref="R93:AI93"/>
    <mergeCell ref="AJ45:AL45"/>
    <mergeCell ref="AF48:AL48"/>
    <mergeCell ref="K59:P59"/>
    <mergeCell ref="N56:P56"/>
    <mergeCell ref="N57:P57"/>
    <mergeCell ref="R62:AI63"/>
    <mergeCell ref="R90:W92"/>
    <mergeCell ref="R87:W89"/>
    <mergeCell ref="R84:W86"/>
    <mergeCell ref="L167:V167"/>
    <mergeCell ref="AF40:AL41"/>
    <mergeCell ref="AF42:AI43"/>
    <mergeCell ref="AJ42:AL43"/>
    <mergeCell ref="AF44:AI44"/>
    <mergeCell ref="AF46:AI46"/>
    <mergeCell ref="AJ46:AL46"/>
    <mergeCell ref="AB101:AC101"/>
    <mergeCell ref="AB102:AC102"/>
    <mergeCell ref="AB98:AC98"/>
    <mergeCell ref="T99:U99"/>
    <mergeCell ref="V98:W98"/>
    <mergeCell ref="P163:Q163"/>
    <mergeCell ref="P162:Q162"/>
    <mergeCell ref="AF154:AG154"/>
    <mergeCell ref="AF155:AG155"/>
    <mergeCell ref="AB159:AM159"/>
    <mergeCell ref="Y149:AM149"/>
    <mergeCell ref="AJ54:AL54"/>
    <mergeCell ref="X67:Y67"/>
    <mergeCell ref="X68:Y68"/>
    <mergeCell ref="X69:Y69"/>
    <mergeCell ref="X70:Y70"/>
    <mergeCell ref="AH170:AI170"/>
    <mergeCell ref="AJ170:AK170"/>
    <mergeCell ref="V171:W171"/>
    <mergeCell ref="X171:Y171"/>
    <mergeCell ref="Z171:AA171"/>
    <mergeCell ref="AB171:AC171"/>
    <mergeCell ref="AD171:AE171"/>
    <mergeCell ref="AF171:AG171"/>
    <mergeCell ref="AH171:AI171"/>
    <mergeCell ref="N54:P54"/>
    <mergeCell ref="N55:P55"/>
    <mergeCell ref="I63:M63"/>
    <mergeCell ref="V170:W170"/>
    <mergeCell ref="X170:Y170"/>
    <mergeCell ref="Z170:AA170"/>
    <mergeCell ref="AB170:AC170"/>
    <mergeCell ref="AD170:AE170"/>
    <mergeCell ref="AF170:AG170"/>
    <mergeCell ref="Y160:AM160"/>
    <mergeCell ref="AK155:AM155"/>
    <mergeCell ref="AK154:AM154"/>
    <mergeCell ref="AJ105:AK105"/>
    <mergeCell ref="AH109:AI109"/>
    <mergeCell ref="AH110:AI110"/>
    <mergeCell ref="AH166:AM166"/>
    <mergeCell ref="AH163:AJ163"/>
    <mergeCell ref="AK163:AM163"/>
    <mergeCell ref="AB150:AM150"/>
    <mergeCell ref="AG129:AK129"/>
    <mergeCell ref="AG130:AK130"/>
    <mergeCell ref="AK138:AM138"/>
    <mergeCell ref="V132:AD132"/>
    <mergeCell ref="AB174:AC174"/>
    <mergeCell ref="AD174:AE174"/>
    <mergeCell ref="AF174:AG174"/>
    <mergeCell ref="AH174:AI174"/>
    <mergeCell ref="V175:W175"/>
    <mergeCell ref="X175:Y175"/>
    <mergeCell ref="Z175:AA175"/>
    <mergeCell ref="AB175:AC175"/>
    <mergeCell ref="AD175:AE175"/>
    <mergeCell ref="AF175:AG175"/>
    <mergeCell ref="AH175:AI175"/>
    <mergeCell ref="Z174:AA174"/>
    <mergeCell ref="V176:W176"/>
    <mergeCell ref="X176:Y176"/>
    <mergeCell ref="Z176:AA176"/>
    <mergeCell ref="AB172:AC172"/>
    <mergeCell ref="AD172:AE172"/>
    <mergeCell ref="AF172:AG172"/>
    <mergeCell ref="AH172:AI172"/>
    <mergeCell ref="V173:W173"/>
    <mergeCell ref="X173:Y173"/>
    <mergeCell ref="Z173:AA173"/>
    <mergeCell ref="AB173:AC173"/>
    <mergeCell ref="AD173:AE173"/>
    <mergeCell ref="AF173:AG173"/>
    <mergeCell ref="AH173:AI173"/>
    <mergeCell ref="AB178:AC178"/>
    <mergeCell ref="AD178:AE178"/>
    <mergeCell ref="AF178:AG178"/>
    <mergeCell ref="AH178:AI178"/>
    <mergeCell ref="V179:W179"/>
    <mergeCell ref="X179:Y179"/>
    <mergeCell ref="Z179:AA179"/>
    <mergeCell ref="AB179:AC179"/>
    <mergeCell ref="AD179:AE179"/>
    <mergeCell ref="AF179:AG179"/>
    <mergeCell ref="AH179:AI179"/>
    <mergeCell ref="V178:W178"/>
    <mergeCell ref="X178:Y178"/>
    <mergeCell ref="Z178:AA178"/>
    <mergeCell ref="AB176:AC176"/>
    <mergeCell ref="AD176:AE176"/>
    <mergeCell ref="AF176:AG176"/>
    <mergeCell ref="AH176:AI176"/>
    <mergeCell ref="V177:W177"/>
    <mergeCell ref="X177:Y177"/>
    <mergeCell ref="Z177:AA177"/>
    <mergeCell ref="AB177:AC177"/>
    <mergeCell ref="AD177:AE177"/>
    <mergeCell ref="AF177:AG177"/>
    <mergeCell ref="AH177:AI177"/>
    <mergeCell ref="AB182:AC182"/>
    <mergeCell ref="AD182:AE182"/>
    <mergeCell ref="AF182:AG182"/>
    <mergeCell ref="AH182:AI182"/>
    <mergeCell ref="V183:W183"/>
    <mergeCell ref="X183:Y183"/>
    <mergeCell ref="Z183:AA183"/>
    <mergeCell ref="AB183:AC183"/>
    <mergeCell ref="AD183:AE183"/>
    <mergeCell ref="AF183:AG183"/>
    <mergeCell ref="AH183:AI183"/>
    <mergeCell ref="AB180:AC180"/>
    <mergeCell ref="AD180:AE180"/>
    <mergeCell ref="AF180:AG180"/>
    <mergeCell ref="AH180:AI180"/>
    <mergeCell ref="V181:W181"/>
    <mergeCell ref="X181:Y181"/>
    <mergeCell ref="Z181:AA181"/>
    <mergeCell ref="AB181:AC181"/>
    <mergeCell ref="AD181:AE181"/>
    <mergeCell ref="AF181:AG181"/>
    <mergeCell ref="AH181:AI181"/>
    <mergeCell ref="AB186:AC186"/>
    <mergeCell ref="AD186:AE186"/>
    <mergeCell ref="AF186:AG186"/>
    <mergeCell ref="AH186:AI186"/>
    <mergeCell ref="V187:W187"/>
    <mergeCell ref="X187:Y187"/>
    <mergeCell ref="Z187:AA187"/>
    <mergeCell ref="AB187:AC187"/>
    <mergeCell ref="AD187:AE187"/>
    <mergeCell ref="AF187:AG187"/>
    <mergeCell ref="AH187:AI187"/>
    <mergeCell ref="AB184:AC184"/>
    <mergeCell ref="AD184:AE184"/>
    <mergeCell ref="AF184:AG184"/>
    <mergeCell ref="AH184:AI184"/>
    <mergeCell ref="V185:W185"/>
    <mergeCell ref="X185:Y185"/>
    <mergeCell ref="Z185:AA185"/>
    <mergeCell ref="AB185:AC185"/>
    <mergeCell ref="AD185:AE185"/>
    <mergeCell ref="AF185:AG185"/>
    <mergeCell ref="AH185:AI185"/>
    <mergeCell ref="AB190:AC190"/>
    <mergeCell ref="AD190:AE190"/>
    <mergeCell ref="AF190:AG190"/>
    <mergeCell ref="AH190:AI190"/>
    <mergeCell ref="V191:W191"/>
    <mergeCell ref="X191:Y191"/>
    <mergeCell ref="Z191:AA191"/>
    <mergeCell ref="AB191:AC191"/>
    <mergeCell ref="AD191:AE191"/>
    <mergeCell ref="AF191:AG191"/>
    <mergeCell ref="AH191:AI191"/>
    <mergeCell ref="AB198:AC198"/>
    <mergeCell ref="AD198:AE198"/>
    <mergeCell ref="AF198:AG198"/>
    <mergeCell ref="AH198:AI198"/>
    <mergeCell ref="AB188:AC188"/>
    <mergeCell ref="AD188:AE188"/>
    <mergeCell ref="AF188:AG188"/>
    <mergeCell ref="AH188:AI188"/>
    <mergeCell ref="V189:W189"/>
    <mergeCell ref="X189:Y189"/>
    <mergeCell ref="Z189:AA189"/>
    <mergeCell ref="AB189:AC189"/>
    <mergeCell ref="AD189:AE189"/>
    <mergeCell ref="AF189:AG189"/>
    <mergeCell ref="AH189:AI189"/>
    <mergeCell ref="X188:Y188"/>
    <mergeCell ref="Z188:AA188"/>
    <mergeCell ref="T199:AI199"/>
    <mergeCell ref="T169:AI169"/>
    <mergeCell ref="AB196:AC196"/>
    <mergeCell ref="AD196:AE196"/>
    <mergeCell ref="AF196:AG196"/>
    <mergeCell ref="AH196:AI196"/>
    <mergeCell ref="V197:W197"/>
    <mergeCell ref="X197:Y197"/>
    <mergeCell ref="Z197:AA197"/>
    <mergeCell ref="AB197:AC197"/>
    <mergeCell ref="AD197:AE197"/>
    <mergeCell ref="AF197:AG197"/>
    <mergeCell ref="AH197:AI197"/>
    <mergeCell ref="AB194:AC194"/>
    <mergeCell ref="AD194:AE194"/>
    <mergeCell ref="AF194:AG194"/>
    <mergeCell ref="AH194:AI194"/>
    <mergeCell ref="V195:W195"/>
    <mergeCell ref="X195:Y195"/>
    <mergeCell ref="Z195:AA195"/>
    <mergeCell ref="AB195:AC195"/>
    <mergeCell ref="AD195:AE195"/>
    <mergeCell ref="AF195:AG195"/>
    <mergeCell ref="AH195:AI195"/>
    <mergeCell ref="AB192:AC192"/>
    <mergeCell ref="AD192:AE192"/>
    <mergeCell ref="AF192:AG192"/>
    <mergeCell ref="AH192:AI192"/>
    <mergeCell ref="AB193:AC193"/>
    <mergeCell ref="AD193:AE193"/>
    <mergeCell ref="AF193:AG193"/>
    <mergeCell ref="AH193:AI193"/>
    <mergeCell ref="O14:W14"/>
    <mergeCell ref="O13:W13"/>
    <mergeCell ref="O12:W12"/>
    <mergeCell ref="O11:W11"/>
    <mergeCell ref="O10:W10"/>
    <mergeCell ref="O9:W9"/>
    <mergeCell ref="O8:W8"/>
    <mergeCell ref="O7:W7"/>
    <mergeCell ref="Z11:AH11"/>
    <mergeCell ref="Z12:AH12"/>
    <mergeCell ref="Z13:AH13"/>
    <mergeCell ref="Z14:AH14"/>
    <mergeCell ref="Z15:AH15"/>
    <mergeCell ref="Z16:AH16"/>
    <mergeCell ref="Z10:AH10"/>
    <mergeCell ref="Z9:AH9"/>
    <mergeCell ref="Z8:AH8"/>
    <mergeCell ref="Z7:AH7"/>
    <mergeCell ref="Z6:AH6"/>
    <mergeCell ref="AJ7:AM7"/>
    <mergeCell ref="AJ8:AM8"/>
    <mergeCell ref="AJ9:AM9"/>
    <mergeCell ref="AJ10:AM10"/>
    <mergeCell ref="AJ11:AM11"/>
    <mergeCell ref="AJ12:AM12"/>
    <mergeCell ref="AJ13:AM13"/>
    <mergeCell ref="AJ14:AM14"/>
    <mergeCell ref="AJ15:AM15"/>
    <mergeCell ref="AJ16:AM16"/>
    <mergeCell ref="AJ6:AM6"/>
    <mergeCell ref="Y5:AM5"/>
    <mergeCell ref="B5:W5"/>
    <mergeCell ref="Y17:AM17"/>
    <mergeCell ref="B18:W18"/>
    <mergeCell ref="C11:M11"/>
    <mergeCell ref="C12:M12"/>
    <mergeCell ref="C13:M13"/>
    <mergeCell ref="C14:M14"/>
    <mergeCell ref="C15:M15"/>
    <mergeCell ref="C16:M16"/>
    <mergeCell ref="C17:M17"/>
    <mergeCell ref="C10:M10"/>
    <mergeCell ref="C9:M9"/>
    <mergeCell ref="C8:M8"/>
    <mergeCell ref="C7:M7"/>
    <mergeCell ref="C6:M6"/>
    <mergeCell ref="O6:W6"/>
    <mergeCell ref="O17:W17"/>
    <mergeCell ref="O16:W16"/>
    <mergeCell ref="O15:W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T138"/>
  <sheetViews>
    <sheetView showGridLines="0" zoomScaleNormal="100" workbookViewId="0"/>
  </sheetViews>
  <sheetFormatPr defaultRowHeight="15" x14ac:dyDescent="0.25"/>
  <cols>
    <col min="2" max="2" width="5.7109375" style="35" customWidth="1"/>
    <col min="3" max="4" width="5.7109375" customWidth="1"/>
  </cols>
  <sheetData>
    <row r="1" spans="2:20" s="35" customFormat="1" x14ac:dyDescent="0.25"/>
    <row r="2" spans="2:20" s="35" customFormat="1" ht="36" x14ac:dyDescent="0.25">
      <c r="B2" s="1069" t="s">
        <v>312</v>
      </c>
      <c r="C2" s="1069"/>
      <c r="D2" s="1069"/>
      <c r="E2" s="1069"/>
      <c r="F2" s="1069"/>
      <c r="G2" s="1069"/>
      <c r="H2" s="1069"/>
      <c r="I2" s="1069"/>
      <c r="J2" s="1069"/>
      <c r="K2" s="1069"/>
      <c r="L2" s="1069"/>
      <c r="M2" s="1069"/>
      <c r="N2" s="1069"/>
      <c r="O2" s="1069"/>
      <c r="P2" s="1069"/>
      <c r="Q2" s="1069"/>
      <c r="R2" s="1069"/>
      <c r="S2" s="1069"/>
      <c r="T2" s="1069"/>
    </row>
    <row r="3" spans="2:20" s="35" customFormat="1" ht="36" customHeight="1" x14ac:dyDescent="0.25">
      <c r="B3" s="601" t="s">
        <v>1156</v>
      </c>
      <c r="C3" s="601"/>
      <c r="D3" s="601"/>
      <c r="E3" s="601"/>
      <c r="F3" s="601"/>
      <c r="G3" s="601"/>
      <c r="H3" s="601"/>
      <c r="I3" s="601"/>
      <c r="J3" s="601"/>
      <c r="K3" s="601"/>
      <c r="L3" s="601"/>
      <c r="M3" s="601"/>
      <c r="N3" s="601"/>
      <c r="O3" s="601"/>
      <c r="P3" s="601"/>
      <c r="Q3" s="601"/>
      <c r="R3" s="601"/>
      <c r="S3" s="601"/>
      <c r="T3" s="601"/>
    </row>
    <row r="4" spans="2:20" s="35" customFormat="1" x14ac:dyDescent="0.25"/>
    <row r="5" spans="2:20" x14ac:dyDescent="0.25">
      <c r="B5" s="27" t="s">
        <v>251</v>
      </c>
      <c r="D5" s="2"/>
      <c r="H5" s="4"/>
      <c r="N5" s="35"/>
      <c r="O5" s="35"/>
      <c r="P5" s="35"/>
      <c r="Q5" s="35"/>
    </row>
    <row r="6" spans="2:20" x14ac:dyDescent="0.25">
      <c r="C6" s="6" t="s">
        <v>1247</v>
      </c>
      <c r="N6" s="35"/>
      <c r="O6" s="35"/>
      <c r="P6" s="35"/>
      <c r="Q6" s="35"/>
    </row>
    <row r="7" spans="2:20" s="28" customFormat="1" x14ac:dyDescent="0.25">
      <c r="B7" s="35"/>
      <c r="C7" s="29"/>
      <c r="D7" t="s">
        <v>57</v>
      </c>
      <c r="N7" s="35"/>
      <c r="O7" s="35"/>
      <c r="P7" s="35"/>
      <c r="Q7" s="35"/>
    </row>
    <row r="8" spans="2:20" x14ac:dyDescent="0.25">
      <c r="D8" s="5">
        <v>2017</v>
      </c>
      <c r="H8" s="4"/>
      <c r="N8" s="35"/>
      <c r="O8" s="35"/>
      <c r="P8" s="35"/>
      <c r="Q8" s="35"/>
    </row>
    <row r="9" spans="2:20" x14ac:dyDescent="0.25">
      <c r="D9" t="s">
        <v>47</v>
      </c>
      <c r="H9" s="4"/>
      <c r="N9" s="35"/>
      <c r="O9" s="35"/>
      <c r="P9" s="35"/>
      <c r="Q9" s="35"/>
    </row>
    <row r="10" spans="2:20" x14ac:dyDescent="0.25">
      <c r="D10" s="4" t="s">
        <v>1248</v>
      </c>
      <c r="H10" s="4"/>
    </row>
    <row r="11" spans="2:20" x14ac:dyDescent="0.25">
      <c r="H11" s="4"/>
    </row>
    <row r="12" spans="2:20" x14ac:dyDescent="0.25">
      <c r="B12" s="27" t="s">
        <v>228</v>
      </c>
      <c r="H12" s="4"/>
    </row>
    <row r="13" spans="2:20" x14ac:dyDescent="0.25">
      <c r="C13" s="6" t="s">
        <v>43</v>
      </c>
    </row>
    <row r="14" spans="2:20" s="22" customFormat="1" x14ac:dyDescent="0.25">
      <c r="B14" s="35"/>
      <c r="C14" s="6"/>
      <c r="D14" t="s">
        <v>44</v>
      </c>
    </row>
    <row r="15" spans="2:20" x14ac:dyDescent="0.25">
      <c r="D15" s="5">
        <v>2011</v>
      </c>
    </row>
    <row r="16" spans="2:20" x14ac:dyDescent="0.25">
      <c r="D16" t="s">
        <v>37</v>
      </c>
    </row>
    <row r="17" spans="2:8" x14ac:dyDescent="0.25">
      <c r="D17" t="s">
        <v>45</v>
      </c>
    </row>
    <row r="19" spans="2:8" x14ac:dyDescent="0.25">
      <c r="B19" s="27" t="s">
        <v>249</v>
      </c>
      <c r="D19" s="3"/>
      <c r="H19" s="4"/>
    </row>
    <row r="20" spans="2:8" x14ac:dyDescent="0.25">
      <c r="C20" s="6" t="s">
        <v>48</v>
      </c>
    </row>
    <row r="21" spans="2:8" s="28" customFormat="1" x14ac:dyDescent="0.25">
      <c r="B21" s="35"/>
      <c r="C21" s="29"/>
      <c r="D21" t="s">
        <v>44</v>
      </c>
    </row>
    <row r="22" spans="2:8" x14ac:dyDescent="0.25">
      <c r="D22" s="3" t="s">
        <v>49</v>
      </c>
    </row>
    <row r="23" spans="2:8" x14ac:dyDescent="0.25">
      <c r="D23" t="s">
        <v>37</v>
      </c>
    </row>
    <row r="24" spans="2:8" x14ac:dyDescent="0.25">
      <c r="D24" t="s">
        <v>50</v>
      </c>
    </row>
    <row r="26" spans="2:8" x14ac:dyDescent="0.25">
      <c r="B26" s="27" t="s">
        <v>242</v>
      </c>
    </row>
    <row r="27" spans="2:8" x14ac:dyDescent="0.25">
      <c r="C27" s="6" t="s">
        <v>1249</v>
      </c>
    </row>
    <row r="28" spans="2:8" s="28" customFormat="1" x14ac:dyDescent="0.25">
      <c r="B28" s="35"/>
      <c r="C28" s="29"/>
      <c r="D28" t="s">
        <v>46</v>
      </c>
    </row>
    <row r="29" spans="2:8" x14ac:dyDescent="0.25">
      <c r="D29" s="5">
        <v>2017</v>
      </c>
      <c r="H29" s="4"/>
    </row>
    <row r="30" spans="2:8" x14ac:dyDescent="0.25">
      <c r="D30" s="4" t="s">
        <v>1250</v>
      </c>
      <c r="H30" s="4"/>
    </row>
    <row r="31" spans="2:8" x14ac:dyDescent="0.25">
      <c r="H31" s="4"/>
    </row>
    <row r="32" spans="2:8" s="35" customFormat="1" x14ac:dyDescent="0.25">
      <c r="B32" s="27" t="s">
        <v>969</v>
      </c>
      <c r="H32" s="4"/>
    </row>
    <row r="33" spans="2:11" s="35" customFormat="1" x14ac:dyDescent="0.25">
      <c r="C33" s="423" t="s">
        <v>964</v>
      </c>
      <c r="H33" s="4"/>
    </row>
    <row r="34" spans="2:11" s="35" customFormat="1" x14ac:dyDescent="0.25">
      <c r="D34" s="382" t="s">
        <v>963</v>
      </c>
      <c r="H34" s="4"/>
    </row>
    <row r="35" spans="2:11" s="35" customFormat="1" x14ac:dyDescent="0.25">
      <c r="D35" s="35">
        <v>2018</v>
      </c>
      <c r="H35" s="4"/>
      <c r="K35" s="218"/>
    </row>
    <row r="36" spans="2:11" s="35" customFormat="1" x14ac:dyDescent="0.25">
      <c r="D36" s="383" t="s">
        <v>967</v>
      </c>
      <c r="H36" s="4"/>
      <c r="K36" s="218"/>
    </row>
    <row r="37" spans="2:11" s="35" customFormat="1" x14ac:dyDescent="0.25">
      <c r="H37" s="4"/>
    </row>
    <row r="38" spans="2:11" s="35" customFormat="1" x14ac:dyDescent="0.25">
      <c r="B38" s="27" t="s">
        <v>832</v>
      </c>
      <c r="H38" s="4"/>
    </row>
    <row r="39" spans="2:11" s="35" customFormat="1" x14ac:dyDescent="0.25">
      <c r="C39" s="32" t="s">
        <v>833</v>
      </c>
      <c r="H39" s="4"/>
    </row>
    <row r="40" spans="2:11" s="35" customFormat="1" x14ac:dyDescent="0.25">
      <c r="D40" s="35" t="s">
        <v>51</v>
      </c>
      <c r="H40" s="4"/>
    </row>
    <row r="41" spans="2:11" s="35" customFormat="1" x14ac:dyDescent="0.25">
      <c r="D41" s="3" t="s">
        <v>1262</v>
      </c>
      <c r="H41" s="4"/>
    </row>
    <row r="42" spans="2:11" s="35" customFormat="1" x14ac:dyDescent="0.25">
      <c r="D42" s="35" t="s">
        <v>37</v>
      </c>
      <c r="H42" s="4"/>
    </row>
    <row r="43" spans="2:11" s="35" customFormat="1" x14ac:dyDescent="0.25">
      <c r="D43" s="4" t="s">
        <v>834</v>
      </c>
      <c r="H43" s="4"/>
    </row>
    <row r="44" spans="2:11" s="35" customFormat="1" x14ac:dyDescent="0.25">
      <c r="H44" s="4"/>
    </row>
    <row r="45" spans="2:11" x14ac:dyDescent="0.25">
      <c r="B45" s="27" t="s">
        <v>252</v>
      </c>
    </row>
    <row r="46" spans="2:11" x14ac:dyDescent="0.25">
      <c r="C46" s="6" t="s">
        <v>52</v>
      </c>
    </row>
    <row r="47" spans="2:11" s="28" customFormat="1" x14ac:dyDescent="0.25">
      <c r="B47" s="35"/>
      <c r="C47" s="29"/>
      <c r="D47" t="s">
        <v>51</v>
      </c>
    </row>
    <row r="48" spans="2:11" x14ac:dyDescent="0.25">
      <c r="D48" s="3" t="s">
        <v>1253</v>
      </c>
      <c r="H48" s="4"/>
    </row>
    <row r="49" spans="2:8" x14ac:dyDescent="0.25">
      <c r="D49" t="s">
        <v>37</v>
      </c>
      <c r="H49" s="4"/>
    </row>
    <row r="50" spans="2:8" x14ac:dyDescent="0.25">
      <c r="D50" s="4" t="s">
        <v>1194</v>
      </c>
      <c r="H50" s="4"/>
    </row>
    <row r="51" spans="2:8" x14ac:dyDescent="0.25">
      <c r="D51" s="4" t="s">
        <v>53</v>
      </c>
      <c r="H51" s="4"/>
    </row>
    <row r="52" spans="2:8" s="35" customFormat="1" x14ac:dyDescent="0.25">
      <c r="D52" s="422"/>
      <c r="H52" s="4"/>
    </row>
    <row r="53" spans="2:8" s="35" customFormat="1" x14ac:dyDescent="0.25">
      <c r="B53" s="27" t="s">
        <v>982</v>
      </c>
      <c r="H53" s="4"/>
    </row>
    <row r="54" spans="2:8" s="35" customFormat="1" x14ac:dyDescent="0.25">
      <c r="C54" s="32" t="s">
        <v>983</v>
      </c>
      <c r="H54" s="4"/>
    </row>
    <row r="55" spans="2:8" s="35" customFormat="1" x14ac:dyDescent="0.25">
      <c r="D55" s="35" t="s">
        <v>51</v>
      </c>
      <c r="H55" s="4"/>
    </row>
    <row r="56" spans="2:8" s="35" customFormat="1" x14ac:dyDescent="0.25">
      <c r="D56" s="3" t="s">
        <v>1261</v>
      </c>
      <c r="H56" s="4"/>
    </row>
    <row r="57" spans="2:8" s="35" customFormat="1" x14ac:dyDescent="0.25">
      <c r="D57" s="35" t="s">
        <v>37</v>
      </c>
      <c r="H57" s="4"/>
    </row>
    <row r="58" spans="2:8" s="35" customFormat="1" x14ac:dyDescent="0.25">
      <c r="D58" s="4" t="s">
        <v>1260</v>
      </c>
      <c r="H58" s="4"/>
    </row>
    <row r="59" spans="2:8" s="35" customFormat="1" x14ac:dyDescent="0.25">
      <c r="D59" s="422"/>
      <c r="H59" s="4"/>
    </row>
    <row r="60" spans="2:8" x14ac:dyDescent="0.25">
      <c r="B60" s="27" t="s">
        <v>248</v>
      </c>
    </row>
    <row r="61" spans="2:8" x14ac:dyDescent="0.25">
      <c r="C61" s="6" t="s">
        <v>1258</v>
      </c>
      <c r="D61" s="3"/>
      <c r="H61" s="4"/>
    </row>
    <row r="62" spans="2:8" s="28" customFormat="1" x14ac:dyDescent="0.25">
      <c r="B62" s="35"/>
      <c r="C62" s="29"/>
      <c r="D62" t="s">
        <v>51</v>
      </c>
      <c r="H62" s="4"/>
    </row>
    <row r="63" spans="2:8" x14ac:dyDescent="0.25">
      <c r="D63" s="3" t="s">
        <v>1259</v>
      </c>
    </row>
    <row r="64" spans="2:8" x14ac:dyDescent="0.25">
      <c r="D64" t="s">
        <v>37</v>
      </c>
      <c r="H64" s="4"/>
    </row>
    <row r="65" spans="2:8" x14ac:dyDescent="0.25">
      <c r="D65" s="4" t="s">
        <v>1193</v>
      </c>
      <c r="H65" s="4"/>
    </row>
    <row r="66" spans="2:8" x14ac:dyDescent="0.25">
      <c r="H66" s="4"/>
    </row>
    <row r="67" spans="2:8" x14ac:dyDescent="0.25">
      <c r="B67" s="27" t="s">
        <v>246</v>
      </c>
    </row>
    <row r="68" spans="2:8" x14ac:dyDescent="0.25">
      <c r="C68" s="6" t="s">
        <v>56</v>
      </c>
      <c r="D68" s="3"/>
      <c r="H68" s="4"/>
    </row>
    <row r="69" spans="2:8" s="28" customFormat="1" x14ac:dyDescent="0.25">
      <c r="B69" s="35"/>
      <c r="C69" s="29"/>
      <c r="D69" t="s">
        <v>55</v>
      </c>
      <c r="H69" s="4"/>
    </row>
    <row r="70" spans="2:8" x14ac:dyDescent="0.25">
      <c r="D70" s="3" t="s">
        <v>1257</v>
      </c>
      <c r="H70" s="4"/>
    </row>
    <row r="71" spans="2:8" x14ac:dyDescent="0.25">
      <c r="D71" t="s">
        <v>37</v>
      </c>
    </row>
    <row r="72" spans="2:8" x14ac:dyDescent="0.25">
      <c r="D72" s="4" t="s">
        <v>1256</v>
      </c>
    </row>
    <row r="74" spans="2:8" s="35" customFormat="1" x14ac:dyDescent="0.25">
      <c r="B74" s="27" t="s">
        <v>318</v>
      </c>
    </row>
    <row r="75" spans="2:8" s="35" customFormat="1" x14ac:dyDescent="0.25">
      <c r="C75" s="32" t="s">
        <v>319</v>
      </c>
    </row>
    <row r="76" spans="2:8" s="35" customFormat="1" x14ac:dyDescent="0.25">
      <c r="D76" s="35" t="s">
        <v>275</v>
      </c>
    </row>
    <row r="77" spans="2:8" s="35" customFormat="1" x14ac:dyDescent="0.25">
      <c r="D77" s="35" t="s">
        <v>35</v>
      </c>
    </row>
    <row r="78" spans="2:8" s="35" customFormat="1" x14ac:dyDescent="0.25">
      <c r="D78" s="38">
        <v>2007</v>
      </c>
    </row>
    <row r="79" spans="2:8" s="35" customFormat="1" x14ac:dyDescent="0.25">
      <c r="D79" s="35" t="s">
        <v>37</v>
      </c>
    </row>
    <row r="80" spans="2:8" s="35" customFormat="1" x14ac:dyDescent="0.25">
      <c r="D80" s="4" t="s">
        <v>321</v>
      </c>
    </row>
    <row r="81" spans="2:8" s="35" customFormat="1" x14ac:dyDescent="0.25"/>
    <row r="82" spans="2:8" s="22" customFormat="1" x14ac:dyDescent="0.25">
      <c r="B82" s="27" t="s">
        <v>259</v>
      </c>
      <c r="D82" s="3"/>
    </row>
    <row r="83" spans="2:8" x14ac:dyDescent="0.25">
      <c r="C83" s="31" t="s">
        <v>1254</v>
      </c>
    </row>
    <row r="84" spans="2:8" x14ac:dyDescent="0.25">
      <c r="D84" t="s">
        <v>260</v>
      </c>
    </row>
    <row r="85" spans="2:8" x14ac:dyDescent="0.25">
      <c r="D85" s="3" t="s">
        <v>1253</v>
      </c>
    </row>
    <row r="86" spans="2:8" x14ac:dyDescent="0.25">
      <c r="D86" s="4" t="s">
        <v>1255</v>
      </c>
    </row>
    <row r="88" spans="2:8" x14ac:dyDescent="0.25">
      <c r="B88" s="27" t="s">
        <v>250</v>
      </c>
    </row>
    <row r="89" spans="2:8" x14ac:dyDescent="0.25">
      <c r="C89" s="6" t="s">
        <v>33</v>
      </c>
    </row>
    <row r="90" spans="2:8" s="28" customFormat="1" x14ac:dyDescent="0.25">
      <c r="B90" s="35"/>
      <c r="C90" s="29"/>
      <c r="D90" t="s">
        <v>35</v>
      </c>
    </row>
    <row r="91" spans="2:8" x14ac:dyDescent="0.25">
      <c r="D91" s="2" t="s">
        <v>34</v>
      </c>
      <c r="H91" s="4"/>
    </row>
    <row r="92" spans="2:8" x14ac:dyDescent="0.25">
      <c r="D92" t="s">
        <v>37</v>
      </c>
      <c r="H92" s="4"/>
    </row>
    <row r="93" spans="2:8" x14ac:dyDescent="0.25">
      <c r="D93" t="s">
        <v>36</v>
      </c>
      <c r="H93" s="4"/>
    </row>
    <row r="94" spans="2:8" x14ac:dyDescent="0.25">
      <c r="D94" s="4" t="s">
        <v>58</v>
      </c>
      <c r="H94" s="4"/>
    </row>
    <row r="95" spans="2:8" x14ac:dyDescent="0.25">
      <c r="H95" s="4"/>
    </row>
    <row r="96" spans="2:8" s="35" customFormat="1" x14ac:dyDescent="0.25">
      <c r="B96" s="27" t="s">
        <v>314</v>
      </c>
      <c r="H96" s="4"/>
    </row>
    <row r="97" spans="2:8" s="35" customFormat="1" x14ac:dyDescent="0.25">
      <c r="C97" s="32" t="s">
        <v>315</v>
      </c>
      <c r="H97" s="4"/>
    </row>
    <row r="98" spans="2:8" s="35" customFormat="1" x14ac:dyDescent="0.25">
      <c r="D98" s="35" t="s">
        <v>35</v>
      </c>
      <c r="H98" s="4"/>
    </row>
    <row r="99" spans="2:8" s="35" customFormat="1" x14ac:dyDescent="0.25">
      <c r="D99" s="5">
        <v>2005</v>
      </c>
      <c r="H99" s="4"/>
    </row>
    <row r="100" spans="2:8" s="35" customFormat="1" x14ac:dyDescent="0.25">
      <c r="D100" s="35" t="s">
        <v>37</v>
      </c>
      <c r="H100" s="4"/>
    </row>
    <row r="101" spans="2:8" s="35" customFormat="1" x14ac:dyDescent="0.25">
      <c r="H101" s="4"/>
    </row>
    <row r="102" spans="2:8" x14ac:dyDescent="0.25">
      <c r="B102" s="27" t="s">
        <v>244</v>
      </c>
      <c r="D102" s="3"/>
      <c r="H102" s="4"/>
    </row>
    <row r="103" spans="2:8" x14ac:dyDescent="0.25">
      <c r="C103" s="6" t="s">
        <v>38</v>
      </c>
    </row>
    <row r="104" spans="2:8" s="28" customFormat="1" x14ac:dyDescent="0.25">
      <c r="B104" s="35"/>
      <c r="C104" s="29"/>
      <c r="D104" t="s">
        <v>40</v>
      </c>
    </row>
    <row r="105" spans="2:8" x14ac:dyDescent="0.25">
      <c r="D105" s="3" t="s">
        <v>39</v>
      </c>
    </row>
    <row r="106" spans="2:8" x14ac:dyDescent="0.25">
      <c r="D106" t="s">
        <v>37</v>
      </c>
    </row>
    <row r="108" spans="2:8" x14ac:dyDescent="0.25">
      <c r="B108" s="27" t="s">
        <v>245</v>
      </c>
      <c r="D108" s="3"/>
    </row>
    <row r="109" spans="2:8" s="22" customFormat="1" x14ac:dyDescent="0.25">
      <c r="B109" s="35"/>
      <c r="C109" s="6" t="s">
        <v>230</v>
      </c>
      <c r="D109" s="3"/>
    </row>
    <row r="110" spans="2:8" s="28" customFormat="1" x14ac:dyDescent="0.25">
      <c r="B110" s="35"/>
      <c r="C110" s="29"/>
      <c r="D110" s="3" t="s">
        <v>231</v>
      </c>
    </row>
    <row r="111" spans="2:8" s="22" customFormat="1" x14ac:dyDescent="0.25">
      <c r="B111" s="35"/>
      <c r="D111" s="3" t="s">
        <v>40</v>
      </c>
    </row>
    <row r="112" spans="2:8" s="22" customFormat="1" x14ac:dyDescent="0.25">
      <c r="B112" s="35"/>
      <c r="D112" s="5">
        <v>1972</v>
      </c>
    </row>
    <row r="113" spans="2:8" s="22" customFormat="1" x14ac:dyDescent="0.25">
      <c r="B113" s="35"/>
      <c r="D113" s="22" t="s">
        <v>37</v>
      </c>
    </row>
    <row r="114" spans="2:8" s="22" customFormat="1" x14ac:dyDescent="0.25">
      <c r="B114" s="35"/>
      <c r="D114" s="3" t="s">
        <v>232</v>
      </c>
    </row>
    <row r="115" spans="2:8" s="22" customFormat="1" x14ac:dyDescent="0.25">
      <c r="B115" s="35"/>
    </row>
    <row r="116" spans="2:8" x14ac:dyDescent="0.25">
      <c r="B116" s="30" t="s">
        <v>243</v>
      </c>
    </row>
    <row r="117" spans="2:8" x14ac:dyDescent="0.25">
      <c r="C117" s="6" t="s">
        <v>1251</v>
      </c>
      <c r="D117" s="3"/>
    </row>
    <row r="118" spans="2:8" s="28" customFormat="1" x14ac:dyDescent="0.25">
      <c r="B118" s="35"/>
      <c r="C118" s="29"/>
      <c r="D118" t="s">
        <v>41</v>
      </c>
    </row>
    <row r="119" spans="2:8" x14ac:dyDescent="0.25">
      <c r="D119" s="5">
        <v>2016</v>
      </c>
    </row>
    <row r="120" spans="2:8" x14ac:dyDescent="0.25">
      <c r="D120" t="s">
        <v>42</v>
      </c>
    </row>
    <row r="121" spans="2:8" x14ac:dyDescent="0.25">
      <c r="D121" t="s">
        <v>1252</v>
      </c>
    </row>
    <row r="123" spans="2:8" x14ac:dyDescent="0.25">
      <c r="B123" s="27" t="s">
        <v>1208</v>
      </c>
      <c r="H123" s="4"/>
    </row>
    <row r="124" spans="2:8" x14ac:dyDescent="0.25">
      <c r="C124" s="32" t="s">
        <v>1209</v>
      </c>
    </row>
    <row r="125" spans="2:8" x14ac:dyDescent="0.25">
      <c r="D125" t="s">
        <v>1210</v>
      </c>
    </row>
    <row r="126" spans="2:8" x14ac:dyDescent="0.25">
      <c r="D126" t="s">
        <v>1211</v>
      </c>
    </row>
    <row r="127" spans="2:8" x14ac:dyDescent="0.25">
      <c r="D127" s="2" t="s">
        <v>49</v>
      </c>
    </row>
    <row r="128" spans="2:8" x14ac:dyDescent="0.25">
      <c r="D128" t="s">
        <v>1212</v>
      </c>
    </row>
    <row r="129" spans="2:12" s="35" customFormat="1" x14ac:dyDescent="0.25">
      <c r="D129" s="35" t="s">
        <v>1213</v>
      </c>
    </row>
    <row r="130" spans="2:12" x14ac:dyDescent="0.25">
      <c r="D130" t="s">
        <v>1215</v>
      </c>
    </row>
    <row r="131" spans="2:12" x14ac:dyDescent="0.25">
      <c r="D131" t="s">
        <v>1214</v>
      </c>
    </row>
    <row r="132" spans="2:12" x14ac:dyDescent="0.25">
      <c r="J132" s="568"/>
      <c r="K132" s="568"/>
      <c r="L132" s="568"/>
    </row>
    <row r="133" spans="2:12" x14ac:dyDescent="0.25">
      <c r="B133" s="27" t="s">
        <v>316</v>
      </c>
      <c r="C133" s="568"/>
      <c r="D133" s="568"/>
      <c r="E133" s="568"/>
      <c r="F133" s="568"/>
      <c r="G133" s="568"/>
      <c r="H133" s="4"/>
      <c r="I133" s="568"/>
      <c r="J133" s="568"/>
      <c r="K133" s="568"/>
      <c r="L133" s="568"/>
    </row>
    <row r="134" spans="2:12" x14ac:dyDescent="0.25">
      <c r="B134" s="568"/>
      <c r="C134" s="32" t="s">
        <v>273</v>
      </c>
      <c r="D134" s="568"/>
      <c r="E134" s="568"/>
      <c r="F134" s="568"/>
      <c r="G134" s="568"/>
      <c r="H134" s="568"/>
      <c r="I134" s="568"/>
      <c r="J134" s="568"/>
      <c r="K134" s="568"/>
      <c r="L134" s="568"/>
    </row>
    <row r="135" spans="2:12" x14ac:dyDescent="0.25">
      <c r="B135" s="568"/>
      <c r="C135" s="568"/>
      <c r="D135" s="568" t="s">
        <v>275</v>
      </c>
      <c r="E135" s="568"/>
      <c r="F135" s="568"/>
      <c r="G135" s="568"/>
      <c r="H135" s="568"/>
      <c r="I135" s="568"/>
      <c r="J135" s="568"/>
      <c r="K135" s="568"/>
      <c r="L135" s="568"/>
    </row>
    <row r="136" spans="2:12" x14ac:dyDescent="0.25">
      <c r="B136" s="568"/>
      <c r="C136" s="568"/>
      <c r="D136" s="568" t="s">
        <v>35</v>
      </c>
      <c r="E136" s="568"/>
      <c r="F136" s="568"/>
      <c r="G136" s="568"/>
      <c r="H136" s="568"/>
      <c r="I136" s="568"/>
      <c r="J136" s="568"/>
      <c r="K136" s="568"/>
      <c r="L136" s="568"/>
    </row>
    <row r="137" spans="2:12" x14ac:dyDescent="0.25">
      <c r="B137" s="568"/>
      <c r="C137" s="568"/>
      <c r="D137" s="3" t="s">
        <v>274</v>
      </c>
      <c r="E137" s="568"/>
      <c r="F137" s="568"/>
      <c r="G137" s="568"/>
      <c r="H137" s="568"/>
      <c r="I137" s="568"/>
      <c r="J137" s="568"/>
      <c r="K137" s="568"/>
      <c r="L137" s="568"/>
    </row>
    <row r="138" spans="2:12" x14ac:dyDescent="0.25">
      <c r="B138" s="568"/>
      <c r="C138" s="568"/>
      <c r="D138" s="568" t="s">
        <v>37</v>
      </c>
      <c r="E138" s="568"/>
      <c r="F138" s="568"/>
      <c r="G138" s="568"/>
      <c r="H138" s="568"/>
      <c r="I138" s="568"/>
    </row>
  </sheetData>
  <sheetProtection algorithmName="SHA-512" hashValue="hFCYof5ivVEUfbN3N8KJB5s0CgS9zWnZ6QDIjAfyc2G43qucyvVp4UK1KmVNsnrlCK9xzm3ahY6c4CuP5a3OAA==" saltValue="9MRy0ToCvoZqEPrk5HxKKg==" spinCount="100000" sheet="1" objects="1" scenarios="1"/>
  <mergeCells count="2">
    <mergeCell ref="B3:T3"/>
    <mergeCell ref="B2:T2"/>
  </mergeCells>
  <hyperlinks>
    <hyperlink ref="D50" r:id="rId1" xr:uid="{00000000-0004-0000-0700-000000000000}"/>
    <hyperlink ref="D65" r:id="rId2" xr:uid="{00000000-0004-0000-0700-000001000000}"/>
    <hyperlink ref="D72" r:id="rId3" xr:uid="{00000000-0004-0000-0700-000002000000}"/>
    <hyperlink ref="D10" r:id="rId4" xr:uid="{00000000-0004-0000-0700-000003000000}"/>
    <hyperlink ref="D30" r:id="rId5" xr:uid="{00000000-0004-0000-0700-000004000000}"/>
    <hyperlink ref="D94" r:id="rId6" xr:uid="{00000000-0004-0000-0700-000005000000}"/>
    <hyperlink ref="D86" r:id="rId7" xr:uid="{00000000-0004-0000-0700-000006000000}"/>
    <hyperlink ref="D80" r:id="rId8" xr:uid="{00000000-0004-0000-0700-000007000000}"/>
    <hyperlink ref="D43" r:id="rId9" xr:uid="{00000000-0004-0000-0700-000008000000}"/>
    <hyperlink ref="D36" r:id="rId10" xr:uid="{00000000-0004-0000-0700-000009000000}"/>
    <hyperlink ref="D58" r:id="rId11" xr:uid="{00000000-0004-0000-0700-00000A000000}"/>
    <hyperlink ref="D51" r:id="rId12" xr:uid="{00000000-0004-0000-0700-00000B000000}"/>
  </hyperlinks>
  <pageMargins left="0.7" right="0.7" top="0.75" bottom="0.75" header="0.3" footer="0.3"/>
  <pageSetup orientation="portrait"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V380"/>
  <sheetViews>
    <sheetView showGridLines="0" zoomScaleNormal="100" workbookViewId="0"/>
  </sheetViews>
  <sheetFormatPr defaultRowHeight="15" x14ac:dyDescent="0.25"/>
  <cols>
    <col min="1" max="9" width="10.7109375" style="7" customWidth="1"/>
    <col min="10" max="10" width="10.7109375" style="35" customWidth="1"/>
    <col min="11" max="50" width="10.7109375" style="7" customWidth="1"/>
    <col min="51" max="16384" width="9.140625" style="7"/>
  </cols>
  <sheetData>
    <row r="1" spans="1:22" x14ac:dyDescent="0.25">
      <c r="Q1" s="35"/>
      <c r="R1" s="35"/>
      <c r="S1" s="35"/>
      <c r="T1" s="35"/>
      <c r="U1" s="35"/>
      <c r="V1" s="35"/>
    </row>
    <row r="2" spans="1:22" ht="36" customHeight="1" x14ac:dyDescent="0.25">
      <c r="B2" s="1119" t="s">
        <v>370</v>
      </c>
      <c r="C2" s="1119"/>
      <c r="D2" s="1119"/>
      <c r="E2" s="1119"/>
      <c r="F2" s="1119"/>
      <c r="G2" s="1119"/>
      <c r="H2" s="1119"/>
      <c r="I2" s="1119"/>
      <c r="J2" s="1119"/>
      <c r="K2" s="1119"/>
      <c r="L2" s="1119"/>
      <c r="M2" s="1119"/>
      <c r="N2" s="1119"/>
      <c r="O2" s="1119"/>
      <c r="P2" s="1119"/>
      <c r="Q2" s="35"/>
      <c r="R2" s="35"/>
      <c r="S2" s="35"/>
      <c r="T2" s="35"/>
      <c r="U2" s="35"/>
      <c r="V2" s="35"/>
    </row>
    <row r="3" spans="1:22" ht="35.25" customHeight="1" x14ac:dyDescent="0.25">
      <c r="B3" s="601" t="s">
        <v>576</v>
      </c>
      <c r="C3" s="601"/>
      <c r="D3" s="601"/>
      <c r="E3" s="601"/>
      <c r="F3" s="601"/>
      <c r="G3" s="601"/>
      <c r="H3" s="601"/>
      <c r="I3" s="601"/>
      <c r="J3" s="601"/>
      <c r="K3" s="601"/>
      <c r="L3" s="601"/>
      <c r="M3" s="601"/>
      <c r="N3" s="601"/>
      <c r="O3" s="601"/>
      <c r="P3" s="601"/>
      <c r="Q3" s="35"/>
      <c r="R3" s="35"/>
      <c r="S3" s="35"/>
      <c r="T3" s="35"/>
      <c r="U3" s="35"/>
      <c r="V3" s="35"/>
    </row>
    <row r="4" spans="1:22" x14ac:dyDescent="0.25">
      <c r="Q4" s="35"/>
      <c r="R4" s="35"/>
      <c r="S4" s="35"/>
      <c r="T4" s="35"/>
      <c r="U4" s="35"/>
      <c r="V4" s="35"/>
    </row>
    <row r="5" spans="1:22" x14ac:dyDescent="0.25">
      <c r="B5" s="1123" t="s">
        <v>514</v>
      </c>
      <c r="C5" s="1124"/>
      <c r="D5" s="1124"/>
      <c r="E5" s="1124"/>
      <c r="F5" s="1124" t="s">
        <v>406</v>
      </c>
      <c r="G5" s="1124"/>
      <c r="H5" s="1125"/>
      <c r="I5" s="35"/>
      <c r="Q5" s="35"/>
      <c r="R5" s="35"/>
      <c r="S5" s="35"/>
      <c r="T5" s="35"/>
      <c r="U5" s="35"/>
      <c r="V5" s="35"/>
    </row>
    <row r="6" spans="1:22" s="568" customFormat="1" x14ac:dyDescent="0.25">
      <c r="B6" s="1099" t="s">
        <v>1199</v>
      </c>
      <c r="C6" s="1100"/>
      <c r="D6" s="1100"/>
      <c r="E6" s="1100"/>
      <c r="F6" s="1100" t="str">
        <f>ProjectName</f>
        <v>Roadway Project</v>
      </c>
      <c r="G6" s="1100"/>
      <c r="H6" s="1104"/>
    </row>
    <row r="7" spans="1:22" s="568" customFormat="1" x14ac:dyDescent="0.25">
      <c r="B7" s="1099" t="s">
        <v>1200</v>
      </c>
      <c r="C7" s="1100"/>
      <c r="D7" s="1100"/>
      <c r="E7" s="1100"/>
      <c r="F7" s="1100" t="str">
        <f>ScenarioDescription</f>
        <v>RULD Calculation</v>
      </c>
      <c r="G7" s="1100"/>
      <c r="H7" s="1104"/>
    </row>
    <row r="8" spans="1:22" x14ac:dyDescent="0.25">
      <c r="A8"/>
      <c r="B8" s="1099" t="s">
        <v>0</v>
      </c>
      <c r="C8" s="1100"/>
      <c r="D8" s="1100"/>
      <c r="E8" s="1100"/>
      <c r="F8" s="1100" t="str">
        <f>District</f>
        <v>(choose a district)</v>
      </c>
      <c r="G8" s="1100"/>
      <c r="H8" s="1104"/>
      <c r="I8" s="35"/>
      <c r="Q8" s="35"/>
      <c r="R8" s="35"/>
      <c r="S8" s="35"/>
      <c r="T8" s="35"/>
      <c r="U8" s="35"/>
      <c r="V8" s="35"/>
    </row>
    <row r="9" spans="1:22" s="35" customFormat="1" x14ac:dyDescent="0.25">
      <c r="B9" s="1099" t="s">
        <v>1</v>
      </c>
      <c r="C9" s="1100"/>
      <c r="D9" s="1100"/>
      <c r="E9" s="1100"/>
      <c r="F9" s="1100" t="str">
        <f>County</f>
        <v>(choose a county)</v>
      </c>
      <c r="G9" s="1100"/>
      <c r="H9" s="1104"/>
    </row>
    <row r="10" spans="1:22" s="35" customFormat="1" x14ac:dyDescent="0.25">
      <c r="B10" s="1099" t="s">
        <v>2</v>
      </c>
      <c r="C10" s="1100"/>
      <c r="D10" s="1100"/>
      <c r="E10" s="1100"/>
      <c r="F10" s="1105">
        <f>Route</f>
        <v>0</v>
      </c>
      <c r="G10" s="1105"/>
      <c r="H10" s="1106"/>
    </row>
    <row r="11" spans="1:22" s="35" customFormat="1" x14ac:dyDescent="0.25">
      <c r="B11" s="1099" t="s">
        <v>3</v>
      </c>
      <c r="C11" s="1100"/>
      <c r="D11" s="1100"/>
      <c r="E11" s="1100"/>
      <c r="F11" s="1105">
        <f>Section</f>
        <v>0</v>
      </c>
      <c r="G11" s="1105"/>
      <c r="H11" s="1106"/>
    </row>
    <row r="12" spans="1:22" s="35" customFormat="1" x14ac:dyDescent="0.25">
      <c r="B12" s="1099" t="s">
        <v>1109</v>
      </c>
      <c r="C12" s="1100"/>
      <c r="D12" s="1100"/>
      <c r="E12" s="1100"/>
      <c r="F12" s="1107">
        <f>ContractAmount</f>
        <v>0</v>
      </c>
      <c r="G12" s="1107"/>
      <c r="H12" s="1108"/>
    </row>
    <row r="13" spans="1:22" s="35" customFormat="1" x14ac:dyDescent="0.25">
      <c r="B13" s="1099" t="s">
        <v>4</v>
      </c>
      <c r="C13" s="1100"/>
      <c r="D13" s="1100"/>
      <c r="E13" s="1100"/>
      <c r="F13" s="1100">
        <f>Input!T21</f>
        <v>2019</v>
      </c>
      <c r="G13" s="1100"/>
      <c r="H13" s="1104"/>
    </row>
    <row r="14" spans="1:22" s="35" customFormat="1" x14ac:dyDescent="0.25">
      <c r="B14" s="1099" t="s">
        <v>911</v>
      </c>
      <c r="C14" s="1100"/>
      <c r="D14" s="1100"/>
      <c r="E14" s="1100"/>
      <c r="F14" s="1100">
        <f>IF(ISBLANK(Input!I22),Input!T22,Input!I22)</f>
        <v>2019</v>
      </c>
      <c r="G14" s="1100"/>
      <c r="H14" s="1104"/>
    </row>
    <row r="15" spans="1:22" s="35" customFormat="1" x14ac:dyDescent="0.25">
      <c r="B15" s="1099" t="s">
        <v>808</v>
      </c>
      <c r="C15" s="1100"/>
      <c r="D15" s="1100"/>
      <c r="E15" s="1100"/>
      <c r="F15" s="1112">
        <f>IF(ISBLANK(Input!I24),IF(ISBLANK(Input!I23),Input!T23,ROUND(Input!I23/100,4)),"-")</f>
        <v>2.1000000000000001E-2</v>
      </c>
      <c r="G15" s="1112"/>
      <c r="H15" s="1113"/>
    </row>
    <row r="16" spans="1:22" s="35" customFormat="1" x14ac:dyDescent="0.25">
      <c r="B16" s="1099" t="s">
        <v>1141</v>
      </c>
      <c r="C16" s="1100"/>
      <c r="D16" s="1100"/>
      <c r="E16" s="1100"/>
      <c r="F16" s="1112">
        <f>ROUND(IF(ISBLANK(Input!I24),(1+InflationYearly)^(ConstructionYear-BaseYear)-1,(Input!I24/100)),4)</f>
        <v>0</v>
      </c>
      <c r="G16" s="1112"/>
      <c r="H16" s="1113"/>
    </row>
    <row r="17" spans="1:21" s="35" customFormat="1" x14ac:dyDescent="0.25">
      <c r="B17" s="1099" t="s">
        <v>405</v>
      </c>
      <c r="C17" s="1100"/>
      <c r="D17" s="1100"/>
      <c r="E17" s="1100"/>
      <c r="F17" s="1100">
        <f>SUM($O$308:$O$319)</f>
        <v>0</v>
      </c>
      <c r="G17" s="1100"/>
      <c r="H17" s="1104"/>
    </row>
    <row r="18" spans="1:21" s="35" customFormat="1" x14ac:dyDescent="0.25">
      <c r="B18" s="1099" t="s">
        <v>6</v>
      </c>
      <c r="C18" s="1100"/>
      <c r="D18" s="1100"/>
      <c r="E18" s="1100"/>
      <c r="F18" s="1120" t="str">
        <f>Classification</f>
        <v>(choose a classification)</v>
      </c>
      <c r="G18" s="1121"/>
      <c r="H18" s="1122"/>
    </row>
    <row r="19" spans="1:21" s="35" customFormat="1" x14ac:dyDescent="0.25">
      <c r="B19" s="1099" t="s">
        <v>1133</v>
      </c>
      <c r="C19" s="1100"/>
      <c r="D19" s="1100"/>
      <c r="E19" s="1100"/>
      <c r="F19" s="1100" t="e">
        <f>VLOOKUP(CodeClassification,TableFC2TPG,13)</f>
        <v>#N/A</v>
      </c>
      <c r="G19" s="1100"/>
      <c r="H19" s="1104"/>
    </row>
    <row r="20" spans="1:21" s="35" customFormat="1" x14ac:dyDescent="0.25">
      <c r="B20" s="1099" t="s">
        <v>1111</v>
      </c>
      <c r="C20" s="1100"/>
      <c r="D20" s="1100"/>
      <c r="E20" s="1100"/>
      <c r="F20" s="1100" t="e">
        <f>VLOOKUP(CodeClassification,TableFC2TPG,14)</f>
        <v>#N/A</v>
      </c>
      <c r="G20" s="1100"/>
      <c r="H20" s="1104"/>
    </row>
    <row r="21" spans="1:21" s="35" customFormat="1" x14ac:dyDescent="0.25">
      <c r="B21" s="1099" t="s">
        <v>841</v>
      </c>
      <c r="C21" s="1100"/>
      <c r="D21" s="1100"/>
      <c r="E21" s="1100"/>
      <c r="F21" s="1100" t="e">
        <f>VLOOKUP(CodeTPG,TableTPG2HCM,11)</f>
        <v>#N/A</v>
      </c>
      <c r="G21" s="1100"/>
      <c r="H21" s="1104"/>
    </row>
    <row r="22" spans="1:21" s="35" customFormat="1" x14ac:dyDescent="0.25">
      <c r="B22" s="1099" t="s">
        <v>165</v>
      </c>
      <c r="C22" s="1100"/>
      <c r="D22" s="1100"/>
      <c r="E22" s="1100"/>
      <c r="F22" s="1100" t="e">
        <f>IF(ISBLANK(Input!I29),Input!T29,Input!I29)</f>
        <v>#N/A</v>
      </c>
      <c r="G22" s="1100"/>
      <c r="H22" s="1104"/>
    </row>
    <row r="23" spans="1:21" s="35" customFormat="1" x14ac:dyDescent="0.25">
      <c r="B23" s="1099" t="s">
        <v>7</v>
      </c>
      <c r="C23" s="1100"/>
      <c r="D23" s="1100"/>
      <c r="E23" s="1100"/>
      <c r="F23" s="1100" t="str">
        <f>Terrain</f>
        <v>Level</v>
      </c>
      <c r="G23" s="1100"/>
      <c r="H23" s="1104"/>
    </row>
    <row r="24" spans="1:21" s="35" customFormat="1" x14ac:dyDescent="0.25">
      <c r="B24" s="1099" t="s">
        <v>504</v>
      </c>
      <c r="C24" s="1100"/>
      <c r="D24" s="1100"/>
      <c r="E24" s="1100"/>
      <c r="F24" s="1100" t="str">
        <f>Month</f>
        <v>(no factor)</v>
      </c>
      <c r="G24" s="1100"/>
      <c r="H24" s="1104"/>
    </row>
    <row r="25" spans="1:21" s="35" customFormat="1" x14ac:dyDescent="0.25">
      <c r="B25" s="1099" t="s">
        <v>505</v>
      </c>
      <c r="C25" s="1100"/>
      <c r="D25" s="1100"/>
      <c r="E25" s="1100"/>
      <c r="F25" s="1100">
        <f>SUM(G317:G328)</f>
        <v>0</v>
      </c>
      <c r="G25" s="1100"/>
      <c r="H25" s="1104"/>
    </row>
    <row r="26" spans="1:21" ht="18" customHeight="1" x14ac:dyDescent="0.25">
      <c r="B26" s="135" t="s">
        <v>515</v>
      </c>
      <c r="C26" s="136"/>
      <c r="D26" s="136"/>
      <c r="E26" s="136"/>
      <c r="F26" s="145" t="s">
        <v>407</v>
      </c>
      <c r="G26" s="146" t="s">
        <v>408</v>
      </c>
      <c r="H26" s="1116" t="str">
        <f>FirstDirection</f>
        <v>Direction 1</v>
      </c>
      <c r="I26" s="1117"/>
      <c r="J26" s="1118"/>
      <c r="K26" s="1116" t="str">
        <f>SecondDirection</f>
        <v>Direction 2</v>
      </c>
      <c r="L26" s="1117"/>
      <c r="M26" s="1118"/>
      <c r="N26" s="137" t="s">
        <v>239</v>
      </c>
    </row>
    <row r="27" spans="1:21" ht="18" customHeight="1" x14ac:dyDescent="0.25">
      <c r="A27" s="35"/>
      <c r="B27" s="95" t="s">
        <v>9</v>
      </c>
      <c r="C27" s="94"/>
      <c r="D27" s="94"/>
      <c r="E27" s="94"/>
      <c r="F27" s="105" t="s">
        <v>414</v>
      </c>
      <c r="G27" s="106" t="s">
        <v>357</v>
      </c>
      <c r="H27" s="111">
        <f>MAX(0,IF(ISBLANK(Input!M34),ROUNDUP(Input!$I$34/2,0),Input!M34))</f>
        <v>0</v>
      </c>
      <c r="I27" s="97"/>
      <c r="J27" s="113"/>
      <c r="K27" s="111">
        <f>MAX(0,IF(ISBLANK(Input!P34),Input!$I$34-LanesEX1,Input!P34))</f>
        <v>0</v>
      </c>
      <c r="L27" s="97"/>
      <c r="M27" s="113"/>
      <c r="N27" s="83">
        <f>LanesEX1+LanesEX2</f>
        <v>0</v>
      </c>
      <c r="P27" s="35"/>
      <c r="Q27" s="35"/>
      <c r="R27" s="35"/>
    </row>
    <row r="28" spans="1:21" ht="18" customHeight="1" x14ac:dyDescent="0.25">
      <c r="A28" s="35"/>
      <c r="B28" s="95" t="s">
        <v>8</v>
      </c>
      <c r="C28" s="94"/>
      <c r="D28" s="94"/>
      <c r="E28" s="94"/>
      <c r="F28" s="105" t="s">
        <v>415</v>
      </c>
      <c r="G28" s="106" t="s">
        <v>170</v>
      </c>
      <c r="H28" s="111" t="e">
        <f>SUM(H29:H31)</f>
        <v>#N/A</v>
      </c>
      <c r="I28" s="97"/>
      <c r="J28" s="113"/>
      <c r="K28" s="111" t="e">
        <f>SUM(K29:K31)</f>
        <v>#N/A</v>
      </c>
      <c r="L28" s="97"/>
      <c r="M28" s="113"/>
      <c r="N28" s="104"/>
    </row>
    <row r="29" spans="1:21" s="35" customFormat="1" ht="18" customHeight="1" x14ac:dyDescent="0.25">
      <c r="B29" s="98" t="s">
        <v>161</v>
      </c>
      <c r="C29" s="99"/>
      <c r="D29" s="99"/>
      <c r="E29" s="99"/>
      <c r="F29" s="107"/>
      <c r="G29" s="108"/>
      <c r="H29" s="114" t="e">
        <f>IF(HCMType=$B29,Input!T$35,"-")</f>
        <v>#N/A</v>
      </c>
      <c r="I29" s="101" t="s">
        <v>270</v>
      </c>
      <c r="J29" s="115" t="s">
        <v>270</v>
      </c>
      <c r="K29" s="114" t="e">
        <f>IF(HCMType=$B29,Input!T$35,"-")</f>
        <v>#N/A</v>
      </c>
      <c r="L29" s="102" t="s">
        <v>270</v>
      </c>
      <c r="M29" s="121" t="s">
        <v>270</v>
      </c>
      <c r="N29" s="104"/>
    </row>
    <row r="30" spans="1:21" s="35" customFormat="1" ht="18" customHeight="1" x14ac:dyDescent="0.25">
      <c r="B30" s="98" t="s">
        <v>162</v>
      </c>
      <c r="C30" s="99"/>
      <c r="D30" s="99"/>
      <c r="E30" s="99"/>
      <c r="F30" s="107"/>
      <c r="G30" s="108"/>
      <c r="H30" s="114" t="e">
        <f>IF(HCMType=$B30,IF(I30="Speed Limit",IF(J30&lt;50,J30+7,J30+5),J30),"-")</f>
        <v>#N/A</v>
      </c>
      <c r="I30" s="103" t="e">
        <f>IF(HCMType=$B30,IF(ISBLANK(Input!M35),Input!$I35,Input!M35),"-")</f>
        <v>#N/A</v>
      </c>
      <c r="J30" s="116" t="e">
        <f>IF(HCMType=$B30,IF(ISBLANK(Input!O35),Input!$K35,Input!O35),"-")</f>
        <v>#N/A</v>
      </c>
      <c r="K30" s="114" t="e">
        <f>IF(HCMType=$B30,IF(L30="Speed Limit",IF(M30&lt;50,M30+7,M30+5),M30),"-")</f>
        <v>#N/A</v>
      </c>
      <c r="L30" s="103" t="e">
        <f>IF(HCMType=$B30,IF(ISBLANK(Input!P35),Input!$I35,Input!P35),"-")</f>
        <v>#N/A</v>
      </c>
      <c r="M30" s="116" t="e">
        <f>IF(HCMType=$B30,IF(ISBLANK(Input!R35),Input!$K35,Input!R35),"-")</f>
        <v>#N/A</v>
      </c>
      <c r="N30" s="104"/>
    </row>
    <row r="31" spans="1:21" s="35" customFormat="1" ht="18" customHeight="1" x14ac:dyDescent="0.25">
      <c r="B31" s="98" t="s">
        <v>163</v>
      </c>
      <c r="C31" s="99"/>
      <c r="D31" s="99"/>
      <c r="E31" s="99"/>
      <c r="F31" s="107"/>
      <c r="G31" s="108"/>
      <c r="H31" s="114" t="e">
        <f>IF(HCMType=$B31,IF(I31="Speed Limit",J31+10,J31),"-")</f>
        <v>#N/A</v>
      </c>
      <c r="I31" s="103" t="e">
        <f>IF(HCMType=$B31,IF(ISBLANK(Input!M35),Input!$I35,Input!M35),"-")</f>
        <v>#N/A</v>
      </c>
      <c r="J31" s="116" t="e">
        <f>IF(HCMType=$B31,IF(ISBLANK(Input!O35),Input!$K35,Input!O35),"-")</f>
        <v>#N/A</v>
      </c>
      <c r="K31" s="114" t="e">
        <f>IF(HCMType=$B31,IF(L31="Speed Limit",M31+10,M31),"-")</f>
        <v>#N/A</v>
      </c>
      <c r="L31" s="103" t="e">
        <f>IF(HCMType=$B31,IF(ISBLANK(Input!P35),Input!$I35,Input!P35),"-")</f>
        <v>#N/A</v>
      </c>
      <c r="M31" s="116" t="e">
        <f>IF(HCMType=$B31,IF(ISBLANK(Input!R35),Input!$K35,Input!R35),"-")</f>
        <v>#N/A</v>
      </c>
      <c r="N31" s="104"/>
    </row>
    <row r="32" spans="1:21" s="35" customFormat="1" ht="18" customHeight="1" x14ac:dyDescent="0.25">
      <c r="B32" s="84" t="s">
        <v>10</v>
      </c>
      <c r="C32" s="67"/>
      <c r="D32" s="67"/>
      <c r="E32" s="67"/>
      <c r="F32" s="105" t="s">
        <v>413</v>
      </c>
      <c r="G32" s="106" t="s">
        <v>91</v>
      </c>
      <c r="H32" s="117" t="e">
        <f>IF(ISBLANK(Input!M36),IF(ISBLANK(Input!$I36),Input!$T36,Input!$I36),Input!M36)</f>
        <v>#N/A</v>
      </c>
      <c r="I32" s="97"/>
      <c r="J32" s="113"/>
      <c r="K32" s="117" t="e">
        <f>IF(ISBLANK(Input!P36),IF(ISBLANK(Input!$I36),Input!$T36,Input!$I36),Input!P36)</f>
        <v>#N/A</v>
      </c>
      <c r="L32" s="97"/>
      <c r="M32" s="113"/>
      <c r="N32" s="104"/>
      <c r="O32" s="7"/>
      <c r="S32" s="7"/>
      <c r="T32" s="7"/>
      <c r="U32" s="7"/>
    </row>
    <row r="33" spans="1:21" ht="18" customHeight="1" x14ac:dyDescent="0.25">
      <c r="A33" s="35"/>
      <c r="B33" s="84" t="s">
        <v>438</v>
      </c>
      <c r="C33" s="67"/>
      <c r="D33" s="67"/>
      <c r="E33" s="67"/>
      <c r="F33" s="105" t="s">
        <v>439</v>
      </c>
      <c r="G33" s="108"/>
      <c r="H33" s="117" t="e">
        <f>IF(HCMType="Two-Lane Highway","n/a",VLOOKUP(WidthEX1,TableWidthSpdAdj,5))</f>
        <v>#N/A</v>
      </c>
      <c r="I33" s="97"/>
      <c r="J33" s="113"/>
      <c r="K33" s="117" t="e">
        <f>IF(HCMType="Two-Lane Highway","n/a",VLOOKUP(WidthEX2,TableWidthSpdAdj,5))</f>
        <v>#N/A</v>
      </c>
      <c r="L33" s="97"/>
      <c r="M33" s="113"/>
      <c r="N33" s="104"/>
      <c r="O33" s="35"/>
      <c r="P33" s="35"/>
      <c r="Q33" s="35"/>
      <c r="R33" s="35"/>
      <c r="S33" s="35"/>
      <c r="T33" s="35"/>
      <c r="U33" s="35"/>
    </row>
    <row r="34" spans="1:21" s="35" customFormat="1" ht="18" customHeight="1" x14ac:dyDescent="0.25">
      <c r="B34" s="84" t="s">
        <v>11</v>
      </c>
      <c r="C34" s="67"/>
      <c r="D34" s="67"/>
      <c r="E34" s="67"/>
      <c r="F34" s="105" t="s">
        <v>412</v>
      </c>
      <c r="G34" s="106" t="s">
        <v>91</v>
      </c>
      <c r="H34" s="118" t="e">
        <f>IF(ISBLANK(Input!M37),IF(ISBLANK(Input!$I37),Input!$T37,Input!$I37),Input!M37)</f>
        <v>#N/A</v>
      </c>
      <c r="I34" s="97"/>
      <c r="J34" s="113"/>
      <c r="K34" s="118" t="e">
        <f>IF(ISBLANK(Input!P37),IF(ISBLANK(Input!$I37),Input!$T37,Input!$I37),Input!P37)</f>
        <v>#N/A</v>
      </c>
      <c r="L34" s="97"/>
      <c r="M34" s="113"/>
      <c r="N34" s="104"/>
      <c r="O34" s="7"/>
      <c r="S34" s="7"/>
      <c r="T34" s="7"/>
      <c r="U34" s="7"/>
    </row>
    <row r="35" spans="1:21" ht="18" customHeight="1" x14ac:dyDescent="0.25">
      <c r="A35" s="35"/>
      <c r="B35" s="84" t="s">
        <v>466</v>
      </c>
      <c r="C35" s="67"/>
      <c r="D35" s="67"/>
      <c r="E35" s="67"/>
      <c r="F35" s="105" t="s">
        <v>510</v>
      </c>
      <c r="G35" s="106" t="s">
        <v>91</v>
      </c>
      <c r="H35" s="118" t="e">
        <f>IF(HCMType="Multilane Highway",IF(ISBLANK(Input!M38),IF(ISBLANK(Input!$I38),Input!$T38,Input!$I38),Input!M38),"n/a")</f>
        <v>#N/A</v>
      </c>
      <c r="I35" s="97"/>
      <c r="J35" s="113"/>
      <c r="K35" s="118" t="e">
        <f>IF(HCMType="Multilane Highway",IF(ISBLANK(Input!P38),IF(ISBLANK(Input!$I38),Input!$T38,Input!$I38),Input!P38),"n/a")</f>
        <v>#N/A</v>
      </c>
      <c r="L35" s="97"/>
      <c r="M35" s="113"/>
      <c r="N35" s="104"/>
      <c r="O35" s="35"/>
      <c r="P35" s="35"/>
      <c r="Q35" s="35"/>
      <c r="R35" s="35"/>
      <c r="S35" s="35"/>
      <c r="T35" s="35"/>
      <c r="U35" s="35"/>
    </row>
    <row r="36" spans="1:21" s="35" customFormat="1" ht="18" customHeight="1" x14ac:dyDescent="0.25">
      <c r="B36" s="96" t="s">
        <v>509</v>
      </c>
      <c r="C36" s="67"/>
      <c r="D36" s="67"/>
      <c r="E36" s="67"/>
      <c r="F36" s="105" t="s">
        <v>440</v>
      </c>
      <c r="G36" s="108"/>
      <c r="H36" s="118" t="e">
        <f>SUM(H37:H39)</f>
        <v>#N/A</v>
      </c>
      <c r="I36" s="97"/>
      <c r="J36" s="113"/>
      <c r="K36" s="118" t="e">
        <f>SUM(K37:K39)</f>
        <v>#N/A</v>
      </c>
      <c r="L36" s="97"/>
      <c r="M36" s="113"/>
      <c r="N36" s="104"/>
    </row>
    <row r="37" spans="1:21" s="35" customFormat="1" ht="18" customHeight="1" x14ac:dyDescent="0.25">
      <c r="B37" s="98" t="s">
        <v>161</v>
      </c>
      <c r="C37" s="99"/>
      <c r="D37" s="99"/>
      <c r="E37" s="99"/>
      <c r="F37" s="107"/>
      <c r="G37" s="108"/>
      <c r="H37" s="119" t="e">
        <f>IF(HCMType=$B37,VLOOKUP(RSLCex1,TableRSLCAdj,LanesEX1+2),"-")</f>
        <v>#N/A</v>
      </c>
      <c r="I37" s="97"/>
      <c r="J37" s="113"/>
      <c r="K37" s="119" t="e">
        <f>IF(HCMType=$B37,VLOOKUP(RSLCex2,TableRSLCAdj,LanesEX2+2),"-")</f>
        <v>#N/A</v>
      </c>
      <c r="L37" s="97"/>
      <c r="M37" s="113"/>
      <c r="N37" s="104"/>
    </row>
    <row r="38" spans="1:21" s="35" customFormat="1" ht="18" customHeight="1" x14ac:dyDescent="0.25">
      <c r="B38" s="98" t="s">
        <v>162</v>
      </c>
      <c r="C38" s="99"/>
      <c r="D38" s="99"/>
      <c r="E38" s="99"/>
      <c r="F38" s="107"/>
      <c r="G38" s="108"/>
      <c r="H38" s="119" t="e">
        <f>IF(HCMType=$B38,VLOOKUP(RSLCex1+LSLCex1,TableTLCAdj,IF(LanesEX&lt;6,2,6)),"-")</f>
        <v>#N/A</v>
      </c>
      <c r="I38" s="97"/>
      <c r="J38" s="113"/>
      <c r="K38" s="119" t="e">
        <f>IF(HCMType=$B38,VLOOKUP(RSLCex2+LSLCex2,TableTLCAdj,IF(LanesEX&lt;6,2,6)),"-")</f>
        <v>#N/A</v>
      </c>
      <c r="L38" s="97"/>
      <c r="M38" s="113"/>
      <c r="N38" s="104"/>
    </row>
    <row r="39" spans="1:21" s="35" customFormat="1" ht="18" customHeight="1" x14ac:dyDescent="0.25">
      <c r="B39" s="98" t="s">
        <v>163</v>
      </c>
      <c r="C39" s="99"/>
      <c r="D39" s="99"/>
      <c r="E39" s="99"/>
      <c r="F39" s="107"/>
      <c r="G39" s="108"/>
      <c r="H39" s="119" t="e">
        <f>IF(HCMType=$B39,VLOOKUP(WidthEX1,TableShoulderAdj,4+ROUNDDOWN((RSLCex1/2),0)*2),"-")</f>
        <v>#N/A</v>
      </c>
      <c r="I39" s="100"/>
      <c r="J39" s="120"/>
      <c r="K39" s="119" t="e">
        <f>IF(HCMType=$B39,VLOOKUP(WidthEX2,TableShoulderAdj,4+ROUNDDOWN((RSLCex2/2),0)*2),"-")</f>
        <v>#N/A</v>
      </c>
      <c r="L39" s="100"/>
      <c r="M39" s="120"/>
      <c r="N39" s="104"/>
    </row>
    <row r="40" spans="1:21" s="35" customFormat="1" ht="18" customHeight="1" x14ac:dyDescent="0.25">
      <c r="B40" s="84" t="s">
        <v>472</v>
      </c>
      <c r="C40" s="67"/>
      <c r="D40" s="67"/>
      <c r="E40" s="67"/>
      <c r="F40" s="107"/>
      <c r="G40" s="108"/>
      <c r="H40" s="139"/>
      <c r="I40" s="97"/>
      <c r="J40" s="113"/>
      <c r="K40" s="139"/>
      <c r="L40" s="97"/>
      <c r="M40" s="113"/>
      <c r="N40" s="83" t="e">
        <f>IF(HCMType="Multilane Highway",IF(ISBLANK(Input!I39),Input!T39,Input!I39),"n/a")</f>
        <v>#N/A</v>
      </c>
    </row>
    <row r="41" spans="1:21" s="35" customFormat="1" ht="18" customHeight="1" x14ac:dyDescent="0.25">
      <c r="B41" s="84" t="s">
        <v>511</v>
      </c>
      <c r="C41" s="67"/>
      <c r="D41" s="67"/>
      <c r="E41" s="67"/>
      <c r="F41" s="107"/>
      <c r="G41" s="108"/>
      <c r="H41" s="111" t="e">
        <f>IF(HCMType="Multilane Highway",VLOOKUP(MedianType,TableMedianAdj,6),"n/a")</f>
        <v>#N/A</v>
      </c>
      <c r="I41" s="97"/>
      <c r="J41" s="113"/>
      <c r="K41" s="122" t="e">
        <f>H41</f>
        <v>#N/A</v>
      </c>
      <c r="L41" s="97"/>
      <c r="M41" s="113"/>
      <c r="N41" s="104"/>
    </row>
    <row r="42" spans="1:21" s="35" customFormat="1" ht="18" customHeight="1" x14ac:dyDescent="0.25">
      <c r="B42" s="84" t="s">
        <v>12</v>
      </c>
      <c r="C42" s="67"/>
      <c r="D42" s="67"/>
      <c r="E42" s="67"/>
      <c r="F42" s="105" t="s">
        <v>437</v>
      </c>
      <c r="G42" s="109" t="s">
        <v>431</v>
      </c>
      <c r="H42" s="111" t="e">
        <f>IF(HCMType="Freeway",ROUND(IF(ISBLANK(Input!M40),IF(ISBLANK(Input!$I40),Input!$T40,Input!$I40),Input!M40),1),"n/a")</f>
        <v>#N/A</v>
      </c>
      <c r="I42" s="97"/>
      <c r="J42" s="113"/>
      <c r="K42" s="111" t="e">
        <f>IF(HCMType="Freeway",ROUND(IF(ISBLANK(Input!P40),IF(ISBLANK(Input!$I40),Input!$T40,Input!$I40),Input!P40),1),"n/a")</f>
        <v>#N/A</v>
      </c>
      <c r="L42" s="97"/>
      <c r="M42" s="113"/>
      <c r="N42" s="104"/>
    </row>
    <row r="43" spans="1:21" s="35" customFormat="1" ht="18" customHeight="1" x14ac:dyDescent="0.25">
      <c r="B43" s="84" t="s">
        <v>512</v>
      </c>
      <c r="C43" s="67"/>
      <c r="D43" s="67"/>
      <c r="E43" s="67"/>
      <c r="F43" s="107"/>
      <c r="G43" s="108"/>
      <c r="H43" s="111" t="e">
        <f>3.22*(H42^0.84)</f>
        <v>#N/A</v>
      </c>
      <c r="I43" s="97"/>
      <c r="J43" s="113"/>
      <c r="K43" s="111" t="e">
        <f>3.22*(K42^0.84)</f>
        <v>#N/A</v>
      </c>
      <c r="L43" s="97"/>
      <c r="M43" s="113"/>
      <c r="N43" s="104"/>
    </row>
    <row r="44" spans="1:21" s="35" customFormat="1" ht="18" customHeight="1" x14ac:dyDescent="0.25">
      <c r="B44" s="84" t="s">
        <v>457</v>
      </c>
      <c r="C44" s="67"/>
      <c r="D44" s="67"/>
      <c r="E44" s="67"/>
      <c r="F44" s="110" t="s">
        <v>516</v>
      </c>
      <c r="G44" s="109" t="s">
        <v>1169</v>
      </c>
      <c r="H44" s="117" t="e">
        <f>IF(HCMType&lt;&gt;"Freeway",ROUND(IF(ISBLANK(Input!M41),IF(ISBLANK(Input!$I41),Input!$T41,Input!$I41),Input!M41),1),"n/a")</f>
        <v>#N/A</v>
      </c>
      <c r="I44" s="97"/>
      <c r="J44" s="113"/>
      <c r="K44" s="117" t="e">
        <f>IF(HCMType&lt;&gt;"Freeway",ROUND(IF(ISBLANK(Input!P41),IF(ISBLANK(Input!$I41),Input!$T41,Input!$I41),Input!P41),1),"n/a")</f>
        <v>#N/A</v>
      </c>
      <c r="L44" s="97"/>
      <c r="M44" s="113"/>
      <c r="N44" s="104"/>
    </row>
    <row r="45" spans="1:21" ht="18" customHeight="1" x14ac:dyDescent="0.25">
      <c r="A45" s="35"/>
      <c r="B45" s="84" t="s">
        <v>513</v>
      </c>
      <c r="C45" s="67"/>
      <c r="D45" s="67"/>
      <c r="E45" s="67"/>
      <c r="F45" s="107"/>
      <c r="G45" s="108"/>
      <c r="H45" s="117" t="e">
        <f>IF(HCMType&lt;&gt;"Freeway",ROUND(MIN(APDentry1,40)*0.25,1),"n/a")</f>
        <v>#N/A</v>
      </c>
      <c r="I45" s="97"/>
      <c r="J45" s="113"/>
      <c r="K45" s="117" t="e">
        <f>IF(HCMType&lt;&gt;"Freeway",ROUND(MIN(APDentry2,40)*0.25,1),"n/a")</f>
        <v>#N/A</v>
      </c>
      <c r="L45" s="97"/>
      <c r="M45" s="113"/>
      <c r="N45" s="104"/>
    </row>
    <row r="46" spans="1:21" s="35" customFormat="1" ht="18" customHeight="1" x14ac:dyDescent="0.25">
      <c r="B46" s="84" t="s">
        <v>394</v>
      </c>
      <c r="C46" s="67"/>
      <c r="D46" s="67"/>
      <c r="E46" s="67"/>
      <c r="F46" s="111" t="s">
        <v>411</v>
      </c>
      <c r="G46" s="106" t="s">
        <v>170</v>
      </c>
      <c r="H46" s="111" t="e">
        <f>IF(ISBLANK(Input!M42),IF(ISBLANK(Input!$I42),SUM(H47:H49),Input!$I42),Input!M42)</f>
        <v>#N/A</v>
      </c>
      <c r="I46" s="97"/>
      <c r="J46" s="113"/>
      <c r="K46" s="111" t="e">
        <f>IF(ISBLANK(Input!P42),IF(ISBLANK(Input!$I42),SUM(K47:K49),Input!$I42),Input!P42)</f>
        <v>#N/A</v>
      </c>
      <c r="L46" s="97"/>
      <c r="M46" s="113"/>
      <c r="N46" s="104"/>
      <c r="O46" s="7"/>
      <c r="P46" s="7"/>
      <c r="Q46" s="7"/>
      <c r="R46" s="7"/>
      <c r="S46" s="7"/>
      <c r="T46" s="7"/>
      <c r="U46" s="7"/>
    </row>
    <row r="47" spans="1:21" s="35" customFormat="1" ht="18" customHeight="1" x14ac:dyDescent="0.25">
      <c r="B47" s="98" t="s">
        <v>161</v>
      </c>
      <c r="C47" s="99"/>
      <c r="D47" s="99"/>
      <c r="E47" s="99"/>
      <c r="F47" s="107"/>
      <c r="G47" s="108"/>
      <c r="H47" s="114" t="e">
        <f>IF(HCMType=$B47,ROUND(BFFSex1-LWFactor1-LCFactor1-TRDFactor1,1),"-")</f>
        <v>#N/A</v>
      </c>
      <c r="I47" s="100"/>
      <c r="J47" s="120"/>
      <c r="K47" s="114" t="e">
        <f>IF(HCMType=$B47,ROUND(BFFSex2-LWFactor2-LCFactor2-TRDFactor2,1),"-")</f>
        <v>#N/A</v>
      </c>
      <c r="L47" s="100"/>
      <c r="M47" s="120"/>
      <c r="N47" s="104"/>
    </row>
    <row r="48" spans="1:21" s="35" customFormat="1" ht="18" customHeight="1" x14ac:dyDescent="0.25">
      <c r="B48" s="98" t="s">
        <v>162</v>
      </c>
      <c r="C48" s="99"/>
      <c r="D48" s="99"/>
      <c r="E48" s="99"/>
      <c r="F48" s="107"/>
      <c r="G48" s="108"/>
      <c r="H48" s="114" t="e">
        <f>IF(HCMType=$B48,ROUND(BFFSex1-LWFactor1-LCFactor1-MedianFactor-APDFactor1,1),"-")</f>
        <v>#N/A</v>
      </c>
      <c r="I48" s="100"/>
      <c r="J48" s="120"/>
      <c r="K48" s="114" t="e">
        <f>IF(HCMType=$B48,ROUND(BFFSex2-LWFactor2-LCFactor2-MedianFactor-APDFactor2,1),"-")</f>
        <v>#N/A</v>
      </c>
      <c r="L48" s="100"/>
      <c r="M48" s="120"/>
      <c r="N48" s="104"/>
    </row>
    <row r="49" spans="1:21" s="35" customFormat="1" ht="18" customHeight="1" x14ac:dyDescent="0.25">
      <c r="B49" s="98" t="s">
        <v>163</v>
      </c>
      <c r="C49" s="99"/>
      <c r="D49" s="99"/>
      <c r="E49" s="99"/>
      <c r="F49" s="107"/>
      <c r="G49" s="108"/>
      <c r="H49" s="114" t="e">
        <f>IF(HCMType=$B49,ROUND(BFFSex1-LCFactor1-APDFactor1,1),"-")</f>
        <v>#N/A</v>
      </c>
      <c r="I49" s="100"/>
      <c r="J49" s="120"/>
      <c r="K49" s="114" t="e">
        <f>IF(HCMType=$B49,ROUND(BFFSex2-LCFactor2-APDFactor2,1),"-")</f>
        <v>#N/A</v>
      </c>
      <c r="L49" s="100"/>
      <c r="M49" s="120"/>
      <c r="N49" s="104"/>
    </row>
    <row r="50" spans="1:21" s="35" customFormat="1" ht="18" customHeight="1" x14ac:dyDescent="0.25">
      <c r="B50" s="84" t="s">
        <v>798</v>
      </c>
      <c r="C50" s="67"/>
      <c r="D50" s="67"/>
      <c r="E50" s="67"/>
      <c r="F50" s="105" t="s">
        <v>857</v>
      </c>
      <c r="G50" s="106" t="s">
        <v>359</v>
      </c>
      <c r="H50" s="111" t="e">
        <f>IF(ISBLANK(Input!M43),IF(ISBLANK(Input!$I43),SUM(H51:H53),Input!$I43),Input!M43)</f>
        <v>#N/A</v>
      </c>
      <c r="I50" s="97"/>
      <c r="J50" s="113"/>
      <c r="K50" s="111" t="e">
        <f>IF(ISBLANK(Input!P43),IF(ISBLANK(Input!$I43),SUM(K51:K53),Input!$I43),Input!P43)</f>
        <v>#N/A</v>
      </c>
      <c r="L50" s="97"/>
      <c r="M50" s="113"/>
      <c r="N50" s="104"/>
      <c r="O50" s="7"/>
      <c r="P50" s="7"/>
      <c r="Q50" s="7"/>
      <c r="R50" s="7"/>
      <c r="S50" s="7"/>
      <c r="T50" s="7"/>
      <c r="U50" s="7"/>
    </row>
    <row r="51" spans="1:21" s="35" customFormat="1" ht="18" customHeight="1" x14ac:dyDescent="0.25">
      <c r="B51" s="98" t="s">
        <v>161</v>
      </c>
      <c r="C51" s="99"/>
      <c r="D51" s="99"/>
      <c r="E51" s="99"/>
      <c r="F51" s="107"/>
      <c r="G51" s="108"/>
      <c r="H51" s="114" t="e">
        <f>IF(HCMType=$B51,VLOOKUP(exFFS1,TableBaseCapFW,2),"-")</f>
        <v>#N/A</v>
      </c>
      <c r="I51" s="100"/>
      <c r="J51" s="120"/>
      <c r="K51" s="114" t="e">
        <f>IF(HCMType=$B51,VLOOKUP(exFFS2,TableBaseCapFW,2),"-")</f>
        <v>#N/A</v>
      </c>
      <c r="L51" s="100"/>
      <c r="M51" s="120"/>
      <c r="N51" s="104"/>
    </row>
    <row r="52" spans="1:21" s="35" customFormat="1" ht="18" customHeight="1" x14ac:dyDescent="0.25">
      <c r="B52" s="98" t="s">
        <v>162</v>
      </c>
      <c r="C52" s="99"/>
      <c r="D52" s="99"/>
      <c r="E52" s="99"/>
      <c r="F52" s="107"/>
      <c r="G52" s="108"/>
      <c r="H52" s="114" t="e">
        <f>IF(HCMType=$B52,VLOOKUP(exFFS1,TableBaseCapML,2),"-")</f>
        <v>#N/A</v>
      </c>
      <c r="I52" s="100"/>
      <c r="J52" s="120"/>
      <c r="K52" s="114" t="e">
        <f>IF(HCMType=$B52,VLOOKUP(exFFS2,TableBaseCapML,2),"-")</f>
        <v>#N/A</v>
      </c>
      <c r="L52" s="100"/>
      <c r="M52" s="120"/>
      <c r="N52" s="104"/>
    </row>
    <row r="53" spans="1:21" s="35" customFormat="1" ht="18" customHeight="1" x14ac:dyDescent="0.25">
      <c r="B53" s="98" t="s">
        <v>163</v>
      </c>
      <c r="C53" s="99"/>
      <c r="D53" s="99"/>
      <c r="E53" s="99"/>
      <c r="F53" s="107"/>
      <c r="G53" s="108"/>
      <c r="H53" s="114" t="e">
        <f>IF(HCMType=$B53,VLOOKUP(exFFS1,TableBaseCapTL,2),"-")</f>
        <v>#N/A</v>
      </c>
      <c r="I53" s="100"/>
      <c r="J53" s="120"/>
      <c r="K53" s="114" t="e">
        <f>IF(HCMType=$B53,VLOOKUP(exFFS2,TableBaseCapTL,2),"-")</f>
        <v>#N/A</v>
      </c>
      <c r="L53" s="100"/>
      <c r="M53" s="120"/>
      <c r="N53" s="104"/>
    </row>
    <row r="54" spans="1:21" s="35" customFormat="1" ht="18" customHeight="1" x14ac:dyDescent="0.25">
      <c r="B54" s="135" t="s">
        <v>334</v>
      </c>
      <c r="C54" s="136"/>
      <c r="D54" s="136"/>
      <c r="E54" s="136"/>
      <c r="F54" s="145" t="s">
        <v>407</v>
      </c>
      <c r="G54" s="146" t="s">
        <v>408</v>
      </c>
      <c r="H54" s="1116" t="str">
        <f>FirstDirection</f>
        <v>Direction 1</v>
      </c>
      <c r="I54" s="1117"/>
      <c r="J54" s="1118"/>
      <c r="K54" s="1116" t="str">
        <f>SecondDirection</f>
        <v>Direction 2</v>
      </c>
      <c r="L54" s="1117"/>
      <c r="M54" s="1118"/>
      <c r="N54" s="137" t="s">
        <v>239</v>
      </c>
    </row>
    <row r="55" spans="1:21" ht="18" customHeight="1" x14ac:dyDescent="0.25">
      <c r="A55" s="35"/>
      <c r="B55" s="88" t="s">
        <v>799</v>
      </c>
      <c r="C55" s="67"/>
      <c r="D55" s="67"/>
      <c r="E55" s="67"/>
      <c r="F55" s="105" t="s">
        <v>801</v>
      </c>
      <c r="G55" s="106" t="s">
        <v>360</v>
      </c>
      <c r="H55" s="139"/>
      <c r="I55" s="85">
        <f>IF(ISBLANK(Input!M47),ROUND(Input!I47*Split1,0),Input!M47)</f>
        <v>0</v>
      </c>
      <c r="J55" s="120"/>
      <c r="K55" s="139"/>
      <c r="L55" s="87">
        <f>IF(ISBLANK(Input!P47),MAX(0,ADTexrTOT-ADTexr1),Input!P47)</f>
        <v>0</v>
      </c>
      <c r="M55" s="120"/>
      <c r="N55" s="86">
        <f>IF(OR(ISBLANK(Input!M47),ISBLANK(Input!P47)),Input!I47,Input!M47+Input!P47)</f>
        <v>0</v>
      </c>
    </row>
    <row r="56" spans="1:21" ht="18" customHeight="1" x14ac:dyDescent="0.25">
      <c r="A56" s="35"/>
      <c r="B56" s="88" t="s">
        <v>14</v>
      </c>
      <c r="C56" s="67"/>
      <c r="D56" s="67"/>
      <c r="E56" s="67"/>
      <c r="F56" s="105" t="s">
        <v>518</v>
      </c>
      <c r="G56" s="106" t="s">
        <v>356</v>
      </c>
      <c r="H56" s="141">
        <f>IF(LanesEX2=0,1,IF(LanesEX1=0,0,N56))</f>
        <v>1</v>
      </c>
      <c r="I56" s="100"/>
      <c r="J56" s="120"/>
      <c r="K56" s="141">
        <f>1-H56</f>
        <v>0</v>
      </c>
      <c r="L56" s="100"/>
      <c r="M56" s="120"/>
      <c r="N56" s="140" t="e">
        <f>IF(AND(ISBLANK(Input!M47),ISBLANK(Input!P47)),IF(ISBLANK(Input!I48),Input!T48,ROUND(Input!I48/100,4)),(Input!M47/(Input!M47+Input!P47)))</f>
        <v>#N/A</v>
      </c>
    </row>
    <row r="57" spans="1:21" s="35" customFormat="1" ht="18" customHeight="1" x14ac:dyDescent="0.25">
      <c r="B57" s="88" t="s">
        <v>500</v>
      </c>
      <c r="C57" s="67"/>
      <c r="D57" s="67"/>
      <c r="E57" s="67"/>
      <c r="F57" s="105" t="s">
        <v>517</v>
      </c>
      <c r="G57" s="108"/>
      <c r="H57" s="139"/>
      <c r="I57" s="100"/>
      <c r="J57" s="120"/>
      <c r="K57" s="139"/>
      <c r="L57" s="100"/>
      <c r="M57" s="120"/>
      <c r="N57" s="142" t="e">
        <f>IF(ISBLANK(Input!M49),Input!T49,Input!M49)</f>
        <v>#N/A</v>
      </c>
    </row>
    <row r="58" spans="1:21" ht="18" customHeight="1" x14ac:dyDescent="0.25">
      <c r="A58" s="35"/>
      <c r="B58" s="88" t="s">
        <v>800</v>
      </c>
      <c r="C58" s="67"/>
      <c r="D58" s="67"/>
      <c r="E58" s="67"/>
      <c r="F58" s="105" t="s">
        <v>416</v>
      </c>
      <c r="G58" s="106" t="s">
        <v>360</v>
      </c>
      <c r="H58" s="139"/>
      <c r="I58" s="85" t="e">
        <f>ROUND(ADTexr1*Monthly,0)</f>
        <v>#N/A</v>
      </c>
      <c r="J58" s="120"/>
      <c r="K58" s="139"/>
      <c r="L58" s="85" t="e">
        <f>ROUND(ADTexr2*Monthly,0)</f>
        <v>#N/A</v>
      </c>
      <c r="M58" s="120"/>
      <c r="N58" s="86" t="e">
        <f>I58+L58</f>
        <v>#N/A</v>
      </c>
    </row>
    <row r="59" spans="1:21" s="35" customFormat="1" ht="18" customHeight="1" x14ac:dyDescent="0.25">
      <c r="B59" s="88" t="s">
        <v>15</v>
      </c>
      <c r="C59" s="67"/>
      <c r="D59" s="67"/>
      <c r="E59" s="67"/>
      <c r="F59" s="105" t="s">
        <v>417</v>
      </c>
      <c r="G59" s="106" t="s">
        <v>356</v>
      </c>
      <c r="H59" s="143" t="e">
        <f>ROUND(IF(ISBLANK(Input!M51),IF(ISBLANK(Input!I51),Input!T51,Input!I51/100),Input!M51/100),3)</f>
        <v>#N/A</v>
      </c>
      <c r="I59" s="85" t="e">
        <f>ADTSU1+ADTCT1</f>
        <v>#N/A</v>
      </c>
      <c r="J59" s="120"/>
      <c r="K59" s="143" t="e">
        <f>ROUND(IF(ISBLANK(Input!P51),IF(ISBLANK(Input!I51),Input!T51,Input!I51/100),Input!P51/100),3)</f>
        <v>#N/A</v>
      </c>
      <c r="L59" s="87" t="e">
        <f>ADTSU2+ADTCT2</f>
        <v>#N/A</v>
      </c>
      <c r="M59" s="120"/>
      <c r="N59" s="86" t="e">
        <f>I59+L59</f>
        <v>#N/A</v>
      </c>
      <c r="O59" s="7"/>
      <c r="P59" s="7"/>
      <c r="Q59" s="7"/>
      <c r="R59" s="7"/>
      <c r="S59" s="7"/>
      <c r="T59" s="7"/>
      <c r="U59" s="7"/>
    </row>
    <row r="60" spans="1:21" s="35" customFormat="1" ht="18" customHeight="1" x14ac:dyDescent="0.25">
      <c r="B60" s="88" t="s">
        <v>418</v>
      </c>
      <c r="C60" s="67"/>
      <c r="D60" s="67"/>
      <c r="E60" s="67"/>
      <c r="F60" s="105" t="s">
        <v>420</v>
      </c>
      <c r="G60" s="106" t="s">
        <v>356</v>
      </c>
      <c r="H60" s="143" t="e">
        <f>ROUND(IF(ISBLANK(Input!M52),IF(ISBLANK(Input!I52),Input!T52,Input!I52/100),Input!M52/100),3)</f>
        <v>#N/A</v>
      </c>
      <c r="I60" s="100"/>
      <c r="J60" s="120"/>
      <c r="K60" s="143" t="e">
        <f>ROUND(IF(ISBLANK(Input!P52),IF(ISBLANK(Input!I52),Input!T52,Input!I52/100),Input!P52/100),3)</f>
        <v>#N/A</v>
      </c>
      <c r="L60" s="100"/>
      <c r="M60" s="120"/>
      <c r="N60" s="104"/>
    </row>
    <row r="61" spans="1:21" ht="18" customHeight="1" x14ac:dyDescent="0.25">
      <c r="A61" s="35"/>
      <c r="B61" s="88" t="s">
        <v>421</v>
      </c>
      <c r="C61" s="67"/>
      <c r="D61" s="67"/>
      <c r="E61" s="67"/>
      <c r="F61" s="105" t="s">
        <v>419</v>
      </c>
      <c r="G61" s="106" t="s">
        <v>356</v>
      </c>
      <c r="H61" s="143" t="e">
        <f>ROUND(1-RpctSU1,3)</f>
        <v>#N/A</v>
      </c>
      <c r="I61" s="100"/>
      <c r="J61" s="120"/>
      <c r="K61" s="143" t="e">
        <f>ROUND(1-RpctSU2,3)</f>
        <v>#N/A</v>
      </c>
      <c r="L61" s="100"/>
      <c r="M61" s="120"/>
      <c r="N61" s="104"/>
      <c r="O61" s="35"/>
      <c r="P61" s="35"/>
      <c r="Q61" s="35"/>
      <c r="R61" s="35"/>
      <c r="S61" s="35"/>
      <c r="T61" s="35"/>
      <c r="U61" s="35"/>
    </row>
    <row r="62" spans="1:21" s="35" customFormat="1" ht="18" customHeight="1" x14ac:dyDescent="0.25">
      <c r="A62" s="7"/>
      <c r="B62" s="88" t="s">
        <v>396</v>
      </c>
      <c r="C62" s="67"/>
      <c r="D62" s="67"/>
      <c r="E62" s="67"/>
      <c r="F62" s="105" t="s">
        <v>569</v>
      </c>
      <c r="G62" s="106" t="s">
        <v>356</v>
      </c>
      <c r="H62" s="143" t="e">
        <f>1-H63-H64-H65</f>
        <v>#N/A</v>
      </c>
      <c r="I62" s="100"/>
      <c r="J62" s="120"/>
      <c r="K62" s="143" t="e">
        <f>1-K63-K64-K65</f>
        <v>#N/A</v>
      </c>
      <c r="L62" s="100"/>
      <c r="M62" s="120"/>
      <c r="N62" s="104"/>
      <c r="P62" s="7"/>
      <c r="Q62" s="7"/>
      <c r="R62" s="7"/>
      <c r="S62" s="7"/>
      <c r="T62" s="7"/>
      <c r="U62" s="7"/>
    </row>
    <row r="63" spans="1:21" ht="18" customHeight="1" x14ac:dyDescent="0.25">
      <c r="B63" s="88" t="s">
        <v>395</v>
      </c>
      <c r="C63" s="67"/>
      <c r="D63" s="67"/>
      <c r="E63" s="67"/>
      <c r="F63" s="105" t="s">
        <v>566</v>
      </c>
      <c r="G63" s="106" t="s">
        <v>356</v>
      </c>
      <c r="H63" s="143" t="e">
        <f>RpctSU1*pctADTTrk1</f>
        <v>#N/A</v>
      </c>
      <c r="I63" s="100"/>
      <c r="J63" s="120"/>
      <c r="K63" s="143" t="e">
        <f>RpctSU2*pctADTTrk2</f>
        <v>#N/A</v>
      </c>
      <c r="L63" s="100"/>
      <c r="M63" s="120"/>
      <c r="N63" s="104"/>
      <c r="O63" s="35"/>
    </row>
    <row r="64" spans="1:21" ht="18" customHeight="1" x14ac:dyDescent="0.25">
      <c r="B64" s="88" t="s">
        <v>16</v>
      </c>
      <c r="C64" s="67"/>
      <c r="D64" s="67"/>
      <c r="E64" s="67"/>
      <c r="F64" s="105" t="s">
        <v>567</v>
      </c>
      <c r="G64" s="106" t="s">
        <v>356</v>
      </c>
      <c r="H64" s="143" t="e">
        <f>RpctCT1*pctADTTrk1</f>
        <v>#N/A</v>
      </c>
      <c r="I64" s="100"/>
      <c r="J64" s="120"/>
      <c r="K64" s="143" t="e">
        <f>RpctCT2*pctADTTrk2</f>
        <v>#N/A</v>
      </c>
      <c r="L64" s="100"/>
      <c r="M64" s="120"/>
      <c r="N64" s="104"/>
      <c r="O64" s="35"/>
    </row>
    <row r="65" spans="1:21" ht="18" customHeight="1" x14ac:dyDescent="0.25">
      <c r="B65" s="88" t="s">
        <v>18</v>
      </c>
      <c r="C65" s="67"/>
      <c r="D65" s="67"/>
      <c r="E65" s="67"/>
      <c r="F65" s="105" t="s">
        <v>568</v>
      </c>
      <c r="G65" s="106" t="s">
        <v>356</v>
      </c>
      <c r="H65" s="143">
        <f>ROUND(IF(ISBLANK(Input!M54),IF(ISBLANK(Input!I54),Input!T54,Input!I54/100),Input!M54/100),3)</f>
        <v>0</v>
      </c>
      <c r="I65" s="100"/>
      <c r="J65" s="120"/>
      <c r="K65" s="143">
        <f>ROUND(IF(ISBLANK(Input!P54),IF(ISBLANK(Input!I54),Input!T54,Input!I54/100),Input!P54/100),3)</f>
        <v>0</v>
      </c>
      <c r="L65" s="100"/>
      <c r="M65" s="120"/>
      <c r="N65" s="104"/>
      <c r="O65" s="35"/>
    </row>
    <row r="66" spans="1:21" s="35" customFormat="1" ht="18" customHeight="1" x14ac:dyDescent="0.25">
      <c r="B66" s="169" t="s">
        <v>529</v>
      </c>
      <c r="C66" s="67"/>
      <c r="D66" s="67"/>
      <c r="E66" s="203"/>
      <c r="F66" s="105" t="s">
        <v>530</v>
      </c>
      <c r="G66" s="204"/>
      <c r="H66" s="186" t="e">
        <f>ROUND(1/(1+(pctADTTrk1*(VLOOKUP(Terrain,TablePCE,4)-1))+(pctADTRV1*(VLOOKUP(Terrain,TablePCE,7)-1))),3)</f>
        <v>#N/A</v>
      </c>
      <c r="I66" s="100"/>
      <c r="J66" s="120"/>
      <c r="K66" s="186" t="e">
        <f>ROUND(1/(1+(pctADTTrk2*(VLOOKUP(Terrain,TablePCE,4)-1))+(pctADTRV2*(VLOOKUP(Terrain,TablePCE,7)-1))),3)</f>
        <v>#N/A</v>
      </c>
      <c r="L66" s="100"/>
      <c r="M66" s="120"/>
      <c r="N66" s="104"/>
    </row>
    <row r="67" spans="1:21" s="35" customFormat="1" ht="18" customHeight="1" x14ac:dyDescent="0.25">
      <c r="B67" s="150" t="s">
        <v>563</v>
      </c>
      <c r="C67" s="67"/>
      <c r="D67" s="67"/>
      <c r="E67" s="203"/>
      <c r="F67" s="105" t="s">
        <v>564</v>
      </c>
      <c r="G67" s="204"/>
      <c r="H67" s="139"/>
      <c r="I67" s="100"/>
      <c r="J67" s="120"/>
      <c r="K67" s="139"/>
      <c r="L67" s="100"/>
      <c r="M67" s="120"/>
      <c r="N67" s="117">
        <f>VLOOKUP(Terrain,TablePCE,4)</f>
        <v>1.5</v>
      </c>
    </row>
    <row r="68" spans="1:21" s="35" customFormat="1" ht="18" customHeight="1" x14ac:dyDescent="0.25">
      <c r="B68" s="150" t="s">
        <v>200</v>
      </c>
      <c r="C68" s="67"/>
      <c r="D68" s="67"/>
      <c r="E68" s="203"/>
      <c r="F68" s="105" t="s">
        <v>565</v>
      </c>
      <c r="G68" s="204"/>
      <c r="H68" s="139"/>
      <c r="I68" s="100"/>
      <c r="J68" s="120"/>
      <c r="K68" s="139"/>
      <c r="L68" s="100"/>
      <c r="M68" s="120"/>
      <c r="N68" s="117">
        <f>VLOOKUP(Terrain,TablePCE,7)</f>
        <v>1.2</v>
      </c>
    </row>
    <row r="69" spans="1:21" s="35" customFormat="1" ht="18" customHeight="1" x14ac:dyDescent="0.25">
      <c r="B69" s="135" t="s">
        <v>335</v>
      </c>
      <c r="C69" s="136"/>
      <c r="D69" s="136"/>
      <c r="E69" s="136"/>
      <c r="F69" s="145" t="s">
        <v>407</v>
      </c>
      <c r="G69" s="146" t="s">
        <v>408</v>
      </c>
      <c r="H69" s="1116" t="str">
        <f>FirstDirection</f>
        <v>Direction 1</v>
      </c>
      <c r="I69" s="1117"/>
      <c r="J69" s="1118"/>
      <c r="K69" s="1116" t="str">
        <f>SecondDirection</f>
        <v>Direction 2</v>
      </c>
      <c r="L69" s="1117"/>
      <c r="M69" s="1118"/>
      <c r="N69" s="137" t="s">
        <v>239</v>
      </c>
    </row>
    <row r="70" spans="1:21" s="35" customFormat="1" ht="18" customHeight="1" x14ac:dyDescent="0.25">
      <c r="A70" s="7"/>
      <c r="B70" s="84" t="s">
        <v>409</v>
      </c>
      <c r="C70" s="67"/>
      <c r="D70" s="67"/>
      <c r="E70" s="67"/>
      <c r="F70" s="1109" t="s">
        <v>422</v>
      </c>
      <c r="G70" s="106" t="str">
        <f>Input!H58</f>
        <v>mi</v>
      </c>
      <c r="H70" s="111">
        <f>IF(ISBLANK(Input!M58),Input!$I58,Input!M58)</f>
        <v>0</v>
      </c>
      <c r="I70" s="100"/>
      <c r="J70" s="120"/>
      <c r="K70" s="111">
        <f>IF(ISBLANK(Input!P58),Input!$I58,Input!P58)</f>
        <v>0</v>
      </c>
      <c r="L70" s="100"/>
      <c r="M70" s="120"/>
      <c r="N70" s="104"/>
      <c r="P70" s="7"/>
      <c r="Q70" s="7"/>
      <c r="R70" s="7"/>
      <c r="S70" s="7"/>
      <c r="T70" s="7"/>
      <c r="U70" s="7"/>
    </row>
    <row r="71" spans="1:21" ht="18" customHeight="1" x14ac:dyDescent="0.25">
      <c r="A71" s="35"/>
      <c r="B71" s="150" t="s">
        <v>410</v>
      </c>
      <c r="C71" s="67"/>
      <c r="D71" s="67"/>
      <c r="E71" s="67"/>
      <c r="F71" s="1110"/>
      <c r="G71" s="106" t="s">
        <v>89</v>
      </c>
      <c r="H71" s="147">
        <f>IF(G70="ft",ROUND(H70/5280,2),ROUND(H70,2))</f>
        <v>0</v>
      </c>
      <c r="I71" s="100"/>
      <c r="J71" s="120"/>
      <c r="K71" s="147">
        <f>IF(G70="ft",ROUND(K70/5280,2),ROUND(K70,2))</f>
        <v>0</v>
      </c>
      <c r="L71" s="100"/>
      <c r="M71" s="120"/>
      <c r="N71" s="104"/>
      <c r="O71" s="35"/>
      <c r="P71" s="35"/>
      <c r="Q71" s="35"/>
      <c r="R71" s="35"/>
      <c r="S71" s="35"/>
      <c r="T71" s="35"/>
      <c r="U71" s="35"/>
    </row>
    <row r="72" spans="1:21" ht="18" customHeight="1" x14ac:dyDescent="0.25">
      <c r="B72" s="88" t="s">
        <v>1236</v>
      </c>
      <c r="C72" s="67"/>
      <c r="D72" s="67"/>
      <c r="E72" s="67"/>
      <c r="F72" s="105" t="s">
        <v>1237</v>
      </c>
      <c r="G72" s="106" t="s">
        <v>170</v>
      </c>
      <c r="H72" s="111">
        <f>IF(ISBLANK(Input!K59),IF(Input!M59="Speed Limit",Input!O59+10,Input!O59),IF(Input!I59="Speed Limit",Input!K59+10,Input!K59))</f>
        <v>0</v>
      </c>
      <c r="I72" s="100"/>
      <c r="J72" s="120"/>
      <c r="K72" s="111">
        <f>IF(ISBLANK(Input!K59),IF(Input!P59="Speed Limit",Input!R59+10,Input!R59),IF(Input!I59="Speed Limit",Input!K59+10,Input!K59))</f>
        <v>0</v>
      </c>
      <c r="L72" s="100"/>
      <c r="M72" s="120"/>
      <c r="N72" s="104"/>
    </row>
    <row r="73" spans="1:21" s="568" customFormat="1" ht="18" customHeight="1" x14ac:dyDescent="0.25">
      <c r="B73" s="572" t="s">
        <v>1196</v>
      </c>
      <c r="C73" s="67"/>
      <c r="D73" s="67"/>
      <c r="E73" s="67"/>
      <c r="F73" s="107"/>
      <c r="G73" s="108"/>
      <c r="H73" s="111" t="e">
        <f>IF(OR(ADTtot1wz&gt;0,LanesEX1=0),"NO","YES")</f>
        <v>#N/A</v>
      </c>
      <c r="I73" s="100"/>
      <c r="J73" s="120"/>
      <c r="K73" s="111" t="e">
        <f>IF(OR(ADTtot2wz&gt;0,LanesEX2=0),"NO","YES")</f>
        <v>#N/A</v>
      </c>
      <c r="L73" s="100"/>
      <c r="M73" s="120"/>
      <c r="N73" s="104"/>
    </row>
    <row r="74" spans="1:21" ht="18" customHeight="1" x14ac:dyDescent="0.25">
      <c r="B74" s="84" t="s">
        <v>397</v>
      </c>
      <c r="C74" s="67"/>
      <c r="D74" s="67"/>
      <c r="E74" s="67"/>
      <c r="F74" s="105" t="s">
        <v>424</v>
      </c>
      <c r="G74" s="106" t="s">
        <v>357</v>
      </c>
      <c r="H74" s="111">
        <f>IF(ISBLANK(Input!M60),IF(ISBLANK(Input!$I60),LanesEX1,ROUNDUP(Input!$I60/2,0)),Input!M60)</f>
        <v>0</v>
      </c>
      <c r="I74" s="100"/>
      <c r="J74" s="120"/>
      <c r="K74" s="111">
        <f>IF(ISBLANK(Input!P60),IF(ISBLANK(Input!$I60),LanesEX2,Input!$I60-LanesWZ1),Input!P60)</f>
        <v>0</v>
      </c>
      <c r="L74" s="100"/>
      <c r="M74" s="120"/>
      <c r="N74" s="104"/>
    </row>
    <row r="75" spans="1:21" s="35" customFormat="1" ht="18" customHeight="1" x14ac:dyDescent="0.25">
      <c r="B75" s="88" t="s">
        <v>526</v>
      </c>
      <c r="C75" s="67"/>
      <c r="D75" s="67"/>
      <c r="E75" s="67"/>
      <c r="F75" s="107"/>
      <c r="G75" s="108"/>
      <c r="H75" s="111" t="str">
        <f>IF(LanesEX1&gt;LanesWZ1,CONCATENATE(LanesEX1," to ",LanesWZ1),"No")</f>
        <v>No</v>
      </c>
      <c r="I75" s="100"/>
      <c r="J75" s="120"/>
      <c r="K75" s="111" t="str">
        <f>IF(LanesEX2&gt;LanesWZ2,CONCATENATE(LanesEX2," to ",LanesWZ2),"No")</f>
        <v>No</v>
      </c>
      <c r="L75" s="100"/>
      <c r="M75" s="120"/>
      <c r="N75" s="104"/>
    </row>
    <row r="76" spans="1:21" ht="18" customHeight="1" x14ac:dyDescent="0.25">
      <c r="B76" s="84" t="s">
        <v>398</v>
      </c>
      <c r="C76" s="67"/>
      <c r="D76" s="67"/>
      <c r="E76" s="67"/>
      <c r="F76" s="105" t="s">
        <v>425</v>
      </c>
      <c r="G76" s="106" t="s">
        <v>91</v>
      </c>
      <c r="H76" s="117" t="e">
        <f>IF(ISBLANK(Input!M61),IF(ISBLANK(Input!$I61),J76,Input!$I61),Input!M61)</f>
        <v>#N/A</v>
      </c>
      <c r="I76" s="100"/>
      <c r="J76" s="458" t="e">
        <f>WidthEX1</f>
        <v>#N/A</v>
      </c>
      <c r="K76" s="117" t="e">
        <f>IF(ISBLANK(Input!P61),IF(ISBLANK(Input!$I61),M76,Input!$I61),Input!P61)</f>
        <v>#N/A</v>
      </c>
      <c r="L76" s="100"/>
      <c r="M76" s="458" t="e">
        <f>WidthEX2</f>
        <v>#N/A</v>
      </c>
      <c r="N76" s="104"/>
    </row>
    <row r="77" spans="1:21" s="568" customFormat="1" ht="18" customHeight="1" x14ac:dyDescent="0.25">
      <c r="B77" s="585" t="s">
        <v>1232</v>
      </c>
      <c r="C77" s="67"/>
      <c r="D77" s="67"/>
      <c r="E77" s="67"/>
      <c r="F77" s="107"/>
      <c r="G77" s="106" t="s">
        <v>170</v>
      </c>
      <c r="H77" s="117" t="e">
        <f>VLOOKUP(WidthWZ1,TableWidthSpdAdj,5)</f>
        <v>#N/A</v>
      </c>
      <c r="I77" s="100"/>
      <c r="J77" s="120"/>
      <c r="K77" s="117" t="e">
        <f>VLOOKUP(WidthWZ2,TableWidthSpdAdj,5)</f>
        <v>#N/A</v>
      </c>
      <c r="L77" s="100"/>
      <c r="M77" s="120"/>
      <c r="N77" s="104"/>
    </row>
    <row r="78" spans="1:21" s="568" customFormat="1" ht="18" customHeight="1" x14ac:dyDescent="0.25">
      <c r="B78" s="585" t="s">
        <v>1227</v>
      </c>
      <c r="C78" s="67"/>
      <c r="D78" s="67"/>
      <c r="E78" s="67"/>
      <c r="F78" s="105" t="s">
        <v>1229</v>
      </c>
      <c r="G78" s="106" t="s">
        <v>91</v>
      </c>
      <c r="H78" s="118" t="e">
        <f>IF(ISBLANK(Input!M62),IF(ISBLANK(Input!$I62),Input!$X37,Input!$I62),Input!M62)</f>
        <v>#N/A</v>
      </c>
      <c r="I78" s="100"/>
      <c r="J78" s="120"/>
      <c r="K78" s="118" t="e">
        <f>IF(ISBLANK(Input!P62),IF(ISBLANK(Input!$I62),Input!$AA37,Input!$I62),Input!P62)</f>
        <v>#N/A</v>
      </c>
      <c r="L78" s="100"/>
      <c r="M78" s="120"/>
      <c r="N78" s="104"/>
    </row>
    <row r="79" spans="1:21" s="568" customFormat="1" ht="18" customHeight="1" x14ac:dyDescent="0.25">
      <c r="B79" s="585" t="s">
        <v>1233</v>
      </c>
      <c r="C79" s="67"/>
      <c r="D79" s="67"/>
      <c r="E79" s="67"/>
      <c r="F79" s="107"/>
      <c r="G79" s="106" t="s">
        <v>170</v>
      </c>
      <c r="H79" s="118" t="e">
        <f>VLOOKUP(RSLCwz1,TableRSLCAdj,IF(LanesEX1&gt;2,LanesEX1+2,4))</f>
        <v>#N/A</v>
      </c>
      <c r="I79" s="100"/>
      <c r="J79" s="120"/>
      <c r="K79" s="118" t="e">
        <f>VLOOKUP(RSLCwz2,TableRSLCAdj,IF(LanesEX2&gt;2,LanesEX2+2,4))</f>
        <v>#N/A</v>
      </c>
      <c r="L79" s="100"/>
      <c r="M79" s="120"/>
      <c r="N79" s="104"/>
    </row>
    <row r="80" spans="1:21" s="568" customFormat="1" ht="18" customHeight="1" x14ac:dyDescent="0.25">
      <c r="B80" s="585" t="s">
        <v>1228</v>
      </c>
      <c r="C80" s="67"/>
      <c r="D80" s="67"/>
      <c r="E80" s="67"/>
      <c r="F80" s="105" t="s">
        <v>1230</v>
      </c>
      <c r="G80" s="106" t="s">
        <v>91</v>
      </c>
      <c r="H80" s="118" t="e">
        <f>IF(ISBLANK(Input!M63),IF(ISBLANK(Input!$I63),IF(OR(Input!X$38="-",Input!X$38="n/a"),2,MIN(Input!X$38,2)),Input!$I63),Input!M63)</f>
        <v>#N/A</v>
      </c>
      <c r="I80" s="100"/>
      <c r="J80" s="120"/>
      <c r="K80" s="118" t="e">
        <f>IF(ISBLANK(Input!P63),IF(ISBLANK(Input!$I63),IF(OR(Input!AA$38="-",Input!AA$38="n/a"),2,MIN(Input!AA$38,2)),Input!$I63),Input!P63)</f>
        <v>#N/A</v>
      </c>
      <c r="L80" s="100"/>
      <c r="M80" s="120"/>
      <c r="N80" s="104"/>
    </row>
    <row r="81" spans="1:21" s="568" customFormat="1" ht="18" customHeight="1" x14ac:dyDescent="0.25">
      <c r="B81" s="585" t="s">
        <v>1234</v>
      </c>
      <c r="C81" s="67"/>
      <c r="D81" s="67"/>
      <c r="E81" s="67"/>
      <c r="F81" s="107"/>
      <c r="G81" s="106" t="s">
        <v>170</v>
      </c>
      <c r="H81" s="118" t="e">
        <f>VLOOKUP(LSLCwz1,TableLSAdj,4)</f>
        <v>#N/A</v>
      </c>
      <c r="I81" s="100"/>
      <c r="J81" s="120"/>
      <c r="K81" s="118" t="e">
        <f>VLOOKUP(LSLCwz2,TableLSAdj,4)</f>
        <v>#N/A</v>
      </c>
      <c r="L81" s="100"/>
      <c r="M81" s="120"/>
      <c r="N81" s="104"/>
    </row>
    <row r="82" spans="1:21" s="568" customFormat="1" ht="18" customHeight="1" x14ac:dyDescent="0.25">
      <c r="B82" s="585" t="s">
        <v>1221</v>
      </c>
      <c r="C82" s="67"/>
      <c r="D82" s="67"/>
      <c r="E82" s="67"/>
      <c r="F82" s="105" t="s">
        <v>1231</v>
      </c>
      <c r="G82" s="108"/>
      <c r="H82" s="118" t="str">
        <f>IF(ISBLANK(Input!M64),IF(ISBLANK(Input!$I64),Input!$T64,Input!$I64),Input!M64)</f>
        <v>LOW</v>
      </c>
      <c r="I82" s="100"/>
      <c r="J82" s="120"/>
      <c r="K82" s="118" t="str">
        <f>IF(ISBLANK(Input!P64),IF(ISBLANK(Input!$I64),Input!$T64,Input!$I64),Input!P64)</f>
        <v>LOW</v>
      </c>
      <c r="L82" s="100"/>
      <c r="M82" s="120"/>
      <c r="N82" s="104"/>
    </row>
    <row r="83" spans="1:21" s="568" customFormat="1" ht="18" customHeight="1" x14ac:dyDescent="0.25">
      <c r="B83" s="585" t="s">
        <v>1235</v>
      </c>
      <c r="C83" s="67"/>
      <c r="D83" s="67"/>
      <c r="E83" s="67"/>
      <c r="F83" s="107"/>
      <c r="G83" s="106" t="s">
        <v>170</v>
      </c>
      <c r="H83" s="118">
        <f>VLOOKUP(Intensity1,TableIntensity,IF(HoursWZ1=24,7,4))</f>
        <v>2</v>
      </c>
      <c r="I83" s="100"/>
      <c r="J83" s="120"/>
      <c r="K83" s="118">
        <f>VLOOKUP(Intensity2,TableIntensity,IF(HoursWZ2=24,7,4))</f>
        <v>2</v>
      </c>
      <c r="L83" s="100"/>
      <c r="M83" s="120"/>
      <c r="N83" s="104"/>
    </row>
    <row r="84" spans="1:21" ht="18" customHeight="1" x14ac:dyDescent="0.25">
      <c r="B84" s="84" t="s">
        <v>24</v>
      </c>
      <c r="C84" s="67"/>
      <c r="D84" s="67"/>
      <c r="E84" s="67"/>
      <c r="F84" s="105" t="s">
        <v>427</v>
      </c>
      <c r="G84" s="108"/>
      <c r="H84" s="148" t="str">
        <f>IF(OR(J84="All Day",J85="All Day"),"All Day",J84)</f>
        <v>All Day</v>
      </c>
      <c r="I84" s="149" t="str">
        <f>IF(ISBLANK(Input!$M65),IF(ISBLANK(Input!$I65),Input!$T65,Input!$I65),Input!M65)</f>
        <v>All Day</v>
      </c>
      <c r="J84" s="458" t="str">
        <f>IF(I84=I85,"All Day",I84)</f>
        <v>All Day</v>
      </c>
      <c r="K84" s="148" t="str">
        <f>IF(OR(M84="All Day",M85="All Day"),"All Day",M84)</f>
        <v>All Day</v>
      </c>
      <c r="L84" s="149" t="str">
        <f>IF(ISBLANK(Input!$P65),IF(ISBLANK(Input!$I65),Input!$T65,Input!$I65),Input!P65)</f>
        <v>All Day</v>
      </c>
      <c r="M84" s="458" t="str">
        <f>IF(L84=L85,"All Day",L84)</f>
        <v>All Day</v>
      </c>
      <c r="N84" s="104"/>
    </row>
    <row r="85" spans="1:21" ht="18" customHeight="1" x14ac:dyDescent="0.25">
      <c r="B85" s="84" t="s">
        <v>25</v>
      </c>
      <c r="C85" s="67"/>
      <c r="D85" s="67"/>
      <c r="E85" s="67"/>
      <c r="F85" s="105" t="s">
        <v>426</v>
      </c>
      <c r="G85" s="108"/>
      <c r="H85" s="148" t="str">
        <f>IF(OR(J85="All Day",J84="All Day"),"All Day",J85)</f>
        <v>All Day</v>
      </c>
      <c r="I85" s="149" t="str">
        <f>IF(ISBLANK(Input!$M66),IF(ISBLANK(Input!$I66),Input!$T66,Input!$I66),Input!M66)</f>
        <v>All Day</v>
      </c>
      <c r="J85" s="458" t="str">
        <f>IF(I85=I84,"All Day",I85)</f>
        <v>All Day</v>
      </c>
      <c r="K85" s="148" t="str">
        <f>IF(OR(M85="All Day",M84="All Day"),"All Day",M85)</f>
        <v>All Day</v>
      </c>
      <c r="L85" s="149" t="str">
        <f>IF(ISBLANK(Input!$P66),IF(ISBLANK(Input!$I66),Input!$T66,Input!$I66),Input!P66)</f>
        <v>All Day</v>
      </c>
      <c r="M85" s="458" t="str">
        <f>IF(L85=L84,"All Day",L85)</f>
        <v>All Day</v>
      </c>
      <c r="N85" s="104"/>
    </row>
    <row r="86" spans="1:21" s="35" customFormat="1" ht="18" customHeight="1" x14ac:dyDescent="0.25">
      <c r="B86" s="88" t="s">
        <v>522</v>
      </c>
      <c r="C86" s="67"/>
      <c r="D86" s="67"/>
      <c r="E86" s="67"/>
      <c r="F86" s="105" t="s">
        <v>523</v>
      </c>
      <c r="G86" s="106" t="s">
        <v>538</v>
      </c>
      <c r="H86" s="118">
        <f>Volumes!D32</f>
        <v>24</v>
      </c>
      <c r="I86" s="100"/>
      <c r="J86" s="120"/>
      <c r="K86" s="118">
        <f>Volumes!D61</f>
        <v>24</v>
      </c>
      <c r="L86" s="100"/>
      <c r="M86" s="120"/>
      <c r="N86" s="104"/>
    </row>
    <row r="87" spans="1:21" s="35" customFormat="1" ht="18" customHeight="1" x14ac:dyDescent="0.25">
      <c r="B87" s="88" t="s">
        <v>520</v>
      </c>
      <c r="C87" s="67"/>
      <c r="D87" s="67"/>
      <c r="E87" s="67"/>
      <c r="F87" s="105" t="s">
        <v>524</v>
      </c>
      <c r="G87" s="106" t="s">
        <v>521</v>
      </c>
      <c r="H87" s="118">
        <f>IF(ISBLANK(Input!M67),IF(ISBLANK(Input!$I67),Input!$T67,Input!$I67),Input!M67)</f>
        <v>1</v>
      </c>
      <c r="I87" s="85" t="str">
        <f>IF(H86&lt;24,"Short-Term","Long-Term")</f>
        <v>Long-Term</v>
      </c>
      <c r="J87" s="120"/>
      <c r="K87" s="118">
        <f>IF(ISBLANK(Input!P67),IF(ISBLANK(Input!$I67),Input!$T67,Input!$I67),Input!P67)</f>
        <v>1</v>
      </c>
      <c r="L87" s="549" t="str">
        <f>IF(K86&lt;24,"Short-Term","Long-Term")</f>
        <v>Long-Term</v>
      </c>
      <c r="M87" s="120"/>
      <c r="N87" s="104"/>
    </row>
    <row r="88" spans="1:21" s="568" customFormat="1" ht="18" customHeight="1" x14ac:dyDescent="0.25">
      <c r="B88" s="585" t="s">
        <v>399</v>
      </c>
      <c r="C88" s="67"/>
      <c r="D88" s="67"/>
      <c r="E88" s="67"/>
      <c r="F88" s="105" t="s">
        <v>423</v>
      </c>
      <c r="G88" s="106" t="s">
        <v>170</v>
      </c>
      <c r="H88" s="583" t="e">
        <f>IF(ISBLANK(Input!I68),IF(ISBLANK(Input!M68),wzBFFS1-H77-H79-H81-H83,Input!M68),Input!I68)</f>
        <v>#N/A</v>
      </c>
      <c r="I88" s="100"/>
      <c r="J88" s="120"/>
      <c r="K88" s="583" t="e">
        <f>IF(ISBLANK(Input!I68),IF(ISBLANK(Input!P68),wzBFFS2-K77-K79-K81-K83,Input!P68),Input!I68)</f>
        <v>#N/A</v>
      </c>
      <c r="L88" s="100"/>
      <c r="M88" s="120"/>
      <c r="N88" s="104"/>
    </row>
    <row r="89" spans="1:21" s="35" customFormat="1" ht="18" customHeight="1" x14ac:dyDescent="0.25">
      <c r="A89" s="7"/>
      <c r="B89" s="84" t="s">
        <v>428</v>
      </c>
      <c r="C89" s="67"/>
      <c r="D89" s="67"/>
      <c r="E89" s="67"/>
      <c r="F89" s="105" t="s">
        <v>429</v>
      </c>
      <c r="G89" s="106" t="s">
        <v>359</v>
      </c>
      <c r="H89" s="85" t="e">
        <f>IF(I87="Short-Term",VLOOKUP(HCMType,TableSTWZCap,5),IF(H75="No",CapacityEx1,VLOOKUP(H75,TableLTWZCap,4)))</f>
        <v>#N/A</v>
      </c>
      <c r="I89" s="100"/>
      <c r="J89" s="120"/>
      <c r="K89" s="85" t="e">
        <f>IF(L87="Short-Term",VLOOKUP(HCMType,TableSTWZCap,5),IF(K75="No",CapacityEx2,VLOOKUP(K75,TableLTWZCap,4)))</f>
        <v>#N/A</v>
      </c>
      <c r="L89" s="100"/>
      <c r="M89" s="120"/>
      <c r="N89" s="104"/>
      <c r="O89" s="7"/>
      <c r="P89" s="7"/>
      <c r="Q89" s="7"/>
      <c r="R89" s="7"/>
      <c r="S89" s="7"/>
      <c r="T89" s="7"/>
      <c r="U89" s="7"/>
    </row>
    <row r="90" spans="1:21" ht="18" customHeight="1" x14ac:dyDescent="0.25">
      <c r="A90" s="35"/>
      <c r="B90" s="84" t="s">
        <v>26</v>
      </c>
      <c r="C90" s="67"/>
      <c r="D90" s="67"/>
      <c r="E90" s="67"/>
      <c r="F90" s="105" t="s">
        <v>430</v>
      </c>
      <c r="G90" s="106" t="s">
        <v>359</v>
      </c>
      <c r="H90" s="111" t="e">
        <f>IF(ISBLANK(Input!M69),IF(ISBLANK(Input!I69),ROUND(BWZC1*VLOOKUP(WidthWZ1,TableWidthCapAdj,5),0),Input!I69),Input!M69)</f>
        <v>#N/A</v>
      </c>
      <c r="I90" s="100"/>
      <c r="J90" s="120"/>
      <c r="K90" s="111" t="e">
        <f>IF(ISBLANK(Input!P69),IF(ISBLANK(Input!I69),ROUND(BWZC2*VLOOKUP(WidthWZ2,TableWidthCapAdj,5),0),Input!I69),Input!P69)</f>
        <v>#N/A</v>
      </c>
      <c r="L90" s="100"/>
      <c r="M90" s="120"/>
      <c r="N90" s="104"/>
      <c r="O90" s="35"/>
      <c r="P90" s="35"/>
      <c r="Q90" s="35"/>
      <c r="R90" s="35"/>
      <c r="S90" s="35"/>
      <c r="T90" s="35"/>
      <c r="U90" s="35"/>
    </row>
    <row r="91" spans="1:21" s="568" customFormat="1" ht="18" customHeight="1" x14ac:dyDescent="0.25">
      <c r="B91" s="600" t="s">
        <v>1279</v>
      </c>
      <c r="C91" s="67"/>
      <c r="D91" s="67"/>
      <c r="E91" s="67"/>
      <c r="F91" s="105" t="s">
        <v>1276</v>
      </c>
      <c r="G91" s="106" t="s">
        <v>533</v>
      </c>
      <c r="H91" s="111" t="e">
        <f>ROUND(WZCapBase1/fHVADJ1,0)</f>
        <v>#N/A</v>
      </c>
      <c r="I91" s="100"/>
      <c r="J91" s="120"/>
      <c r="K91" s="111" t="e">
        <f>ROUND(WZCapBase2/fHVADJ2,0)</f>
        <v>#N/A</v>
      </c>
      <c r="L91" s="100"/>
      <c r="M91" s="120"/>
      <c r="N91" s="104"/>
    </row>
    <row r="92" spans="1:21" ht="18" customHeight="1" x14ac:dyDescent="0.25">
      <c r="B92" s="84" t="s">
        <v>366</v>
      </c>
      <c r="C92" s="67"/>
      <c r="D92" s="67"/>
      <c r="E92" s="67"/>
      <c r="F92" s="105" t="s">
        <v>519</v>
      </c>
      <c r="G92" s="106" t="s">
        <v>539</v>
      </c>
      <c r="H92" s="139"/>
      <c r="I92" s="100"/>
      <c r="J92" s="120"/>
      <c r="K92" s="139"/>
      <c r="L92" s="100"/>
      <c r="M92" s="120"/>
      <c r="N92" s="408" t="str">
        <f>IF(ISBLANK(Input!I73),Input!T73,ROUND(Input!I73/60,2))</f>
        <v>none</v>
      </c>
    </row>
    <row r="93" spans="1:21" s="35" customFormat="1" ht="18" customHeight="1" x14ac:dyDescent="0.25">
      <c r="A93" s="7"/>
      <c r="B93" s="135" t="s">
        <v>337</v>
      </c>
      <c r="C93" s="136"/>
      <c r="D93" s="136"/>
      <c r="E93" s="136"/>
      <c r="F93" s="145" t="s">
        <v>407</v>
      </c>
      <c r="G93" s="146" t="s">
        <v>408</v>
      </c>
      <c r="H93" s="1116" t="str">
        <f>FirstDirection</f>
        <v>Direction 1</v>
      </c>
      <c r="I93" s="1117"/>
      <c r="J93" s="1118"/>
      <c r="K93" s="1116" t="str">
        <f>SecondDirection</f>
        <v>Direction 2</v>
      </c>
      <c r="L93" s="1117"/>
      <c r="M93" s="1118"/>
      <c r="N93" s="137" t="s">
        <v>239</v>
      </c>
      <c r="O93" s="7"/>
      <c r="P93" s="7"/>
      <c r="Q93" s="7"/>
      <c r="R93" s="7"/>
      <c r="S93" s="7"/>
      <c r="T93" s="7"/>
      <c r="U93" s="7"/>
    </row>
    <row r="94" spans="1:21" ht="18" customHeight="1" x14ac:dyDescent="0.25">
      <c r="B94" s="84" t="s">
        <v>400</v>
      </c>
      <c r="C94" s="67"/>
      <c r="D94" s="67"/>
      <c r="E94" s="67"/>
      <c r="F94" s="105" t="s">
        <v>436</v>
      </c>
      <c r="G94" s="106" t="s">
        <v>342</v>
      </c>
      <c r="H94" s="111">
        <f>IF(ISBLANK(Input!M78),Input!$I78,Input!M78)</f>
        <v>0</v>
      </c>
      <c r="I94" s="100"/>
      <c r="J94" s="120"/>
      <c r="K94" s="111">
        <f>IF(ISBLANK(Input!P78),Input!$I78,Input!P78)</f>
        <v>0</v>
      </c>
      <c r="L94" s="100"/>
      <c r="M94" s="120"/>
      <c r="N94" s="104"/>
    </row>
    <row r="95" spans="1:21" ht="18" customHeight="1" x14ac:dyDescent="0.25">
      <c r="B95" s="84" t="s">
        <v>401</v>
      </c>
      <c r="C95" s="67"/>
      <c r="D95" s="67"/>
      <c r="E95" s="67"/>
      <c r="F95" s="105" t="s">
        <v>432</v>
      </c>
      <c r="G95" s="106" t="s">
        <v>342</v>
      </c>
      <c r="H95" s="111">
        <f>IF(ISBLANK(Input!M79),IF(ISBLANK(Input!$I79),H$94,Input!$I79),Input!M79)</f>
        <v>0</v>
      </c>
      <c r="I95" s="100"/>
      <c r="J95" s="120"/>
      <c r="K95" s="111">
        <f>IF(ISBLANK(Input!P79),IF(ISBLANK(Input!$I79),K$94,Input!$I79),Input!P79)</f>
        <v>0</v>
      </c>
      <c r="L95" s="100"/>
      <c r="M95" s="120"/>
      <c r="N95" s="104"/>
      <c r="O95" s="35"/>
    </row>
    <row r="96" spans="1:21" ht="18" customHeight="1" x14ac:dyDescent="0.25">
      <c r="B96" s="84" t="s">
        <v>402</v>
      </c>
      <c r="C96" s="67"/>
      <c r="D96" s="67"/>
      <c r="E96" s="67"/>
      <c r="F96" s="105" t="s">
        <v>433</v>
      </c>
      <c r="G96" s="106" t="s">
        <v>342</v>
      </c>
      <c r="H96" s="111">
        <f>IF(ISBLANK(Input!M80),IF(ISBLANK(Input!$I80),H$94,Input!$I80),Input!M80)</f>
        <v>0</v>
      </c>
      <c r="I96" s="100"/>
      <c r="J96" s="120"/>
      <c r="K96" s="111">
        <f>IF(ISBLANK(Input!P80),IF(ISBLANK(Input!$I80),K$94,Input!$I80),Input!P80)</f>
        <v>0</v>
      </c>
      <c r="L96" s="100"/>
      <c r="M96" s="120"/>
      <c r="N96" s="104"/>
      <c r="O96" s="35"/>
    </row>
    <row r="97" spans="2:15" ht="18" customHeight="1" x14ac:dyDescent="0.25">
      <c r="B97" s="84" t="s">
        <v>403</v>
      </c>
      <c r="C97" s="67"/>
      <c r="D97" s="67"/>
      <c r="E97" s="67"/>
      <c r="F97" s="105" t="s">
        <v>434</v>
      </c>
      <c r="G97" s="106" t="s">
        <v>342</v>
      </c>
      <c r="H97" s="111">
        <f>IF(ISBLANK(Input!M81),IF(ISBLANK(Input!$I81),H$94,Input!$I81),Input!M81)</f>
        <v>0</v>
      </c>
      <c r="I97" s="100"/>
      <c r="J97" s="120"/>
      <c r="K97" s="111">
        <f>IF(ISBLANK(Input!P81),IF(ISBLANK(Input!$I81),K$94,Input!$I81),Input!P81)</f>
        <v>0</v>
      </c>
      <c r="L97" s="100"/>
      <c r="M97" s="120"/>
      <c r="N97" s="104"/>
      <c r="O97" s="35"/>
    </row>
    <row r="98" spans="2:15" ht="18" customHeight="1" x14ac:dyDescent="0.25">
      <c r="B98" s="132" t="s">
        <v>404</v>
      </c>
      <c r="C98" s="67"/>
      <c r="D98" s="67"/>
      <c r="E98" s="67"/>
      <c r="F98" s="105" t="s">
        <v>435</v>
      </c>
      <c r="G98" s="106" t="s">
        <v>342</v>
      </c>
      <c r="H98" s="111">
        <f>IF(ISBLANK(Input!M82),IF(ISBLANK(Input!$I82),H$94,Input!$I82),Input!M82)</f>
        <v>0</v>
      </c>
      <c r="I98" s="100"/>
      <c r="J98" s="120"/>
      <c r="K98" s="111">
        <f>IF(ISBLANK(Input!P82),IF(ISBLANK(Input!$I82),K$94,Input!$I82),Input!P82)</f>
        <v>0</v>
      </c>
      <c r="L98" s="100"/>
      <c r="M98" s="120"/>
      <c r="N98" s="104"/>
    </row>
    <row r="99" spans="2:15" s="35" customFormat="1" ht="18" customHeight="1" x14ac:dyDescent="0.25">
      <c r="B99" s="151" t="s">
        <v>532</v>
      </c>
      <c r="C99" s="171"/>
      <c r="D99" s="171"/>
      <c r="E99" s="171"/>
      <c r="F99" s="171"/>
      <c r="G99" s="171"/>
      <c r="H99" s="171"/>
      <c r="I99" s="171"/>
      <c r="J99" s="171"/>
      <c r="K99" s="171"/>
      <c r="L99" s="171"/>
      <c r="M99" s="171"/>
      <c r="N99" s="172"/>
    </row>
    <row r="100" spans="2:15" s="35" customFormat="1" ht="18" customHeight="1" x14ac:dyDescent="0.25">
      <c r="B100" s="95" t="s">
        <v>536</v>
      </c>
      <c r="C100" s="94"/>
      <c r="D100" s="94"/>
      <c r="E100" s="94"/>
      <c r="F100" s="173" t="s">
        <v>544</v>
      </c>
      <c r="G100" s="174" t="s">
        <v>356</v>
      </c>
      <c r="H100" s="143">
        <f>IF(ISBLANK(Input!M88),ROUND(Input!$I88/100,3),ROUND(Input!M88/100,3))</f>
        <v>0</v>
      </c>
      <c r="I100" s="100"/>
      <c r="J100" s="120"/>
      <c r="K100" s="143">
        <f>IF(ISBLANK(Input!P88),ROUND(Input!$I88/100,3),ROUND(Input!P88/100,3))</f>
        <v>0</v>
      </c>
      <c r="L100" s="100"/>
      <c r="M100" s="120"/>
      <c r="N100" s="201"/>
    </row>
    <row r="101" spans="2:15" s="35" customFormat="1" ht="18" customHeight="1" x14ac:dyDescent="0.25">
      <c r="B101" s="175" t="s">
        <v>27</v>
      </c>
      <c r="C101" s="94"/>
      <c r="D101" s="94"/>
      <c r="E101" s="94"/>
      <c r="F101" s="173" t="s">
        <v>545</v>
      </c>
      <c r="G101" s="174" t="s">
        <v>356</v>
      </c>
      <c r="H101" s="143">
        <f>IF(ISBLANK(Input!M89),IF(ISBLANK(Input!$I89),H$100,ROUND(Input!$I89/100,3)),ROUND(Input!M89/100,3))</f>
        <v>0</v>
      </c>
      <c r="I101" s="100"/>
      <c r="J101" s="120"/>
      <c r="K101" s="143">
        <f>IF(ISBLANK(Input!P89),IF(ISBLANK(Input!$I89),K$100,ROUND(Input!$I89/100,3)),ROUND(Input!P89/100,3))</f>
        <v>0</v>
      </c>
      <c r="L101" s="100"/>
      <c r="M101" s="120"/>
      <c r="N101" s="201"/>
    </row>
    <row r="102" spans="2:15" s="35" customFormat="1" ht="18" customHeight="1" x14ac:dyDescent="0.25">
      <c r="B102" s="175" t="s">
        <v>29</v>
      </c>
      <c r="C102" s="94"/>
      <c r="D102" s="94"/>
      <c r="E102" s="94"/>
      <c r="F102" s="173" t="s">
        <v>546</v>
      </c>
      <c r="G102" s="174" t="s">
        <v>356</v>
      </c>
      <c r="H102" s="143">
        <f>IF(ISBLANK(Input!M90),IF(ISBLANK(Input!$I90),H$100,ROUND(Input!$I90/100,3)),ROUND(Input!M90/100,3))</f>
        <v>0</v>
      </c>
      <c r="I102" s="100"/>
      <c r="J102" s="120"/>
      <c r="K102" s="143">
        <f>IF(ISBLANK(Input!P90),IF(ISBLANK(Input!$I90),K$100,ROUND(Input!$I90/100,3)),ROUND(Input!P90/100,3))</f>
        <v>0</v>
      </c>
      <c r="L102" s="100"/>
      <c r="M102" s="120"/>
      <c r="N102" s="201"/>
    </row>
    <row r="103" spans="2:15" s="35" customFormat="1" ht="18" customHeight="1" x14ac:dyDescent="0.25">
      <c r="B103" s="175" t="s">
        <v>30</v>
      </c>
      <c r="C103" s="94"/>
      <c r="D103" s="94"/>
      <c r="E103" s="94"/>
      <c r="F103" s="173" t="s">
        <v>547</v>
      </c>
      <c r="G103" s="174" t="s">
        <v>356</v>
      </c>
      <c r="H103" s="143">
        <f>IF(ISBLANK(Input!M91),IF(ISBLANK(Input!$I91),H$100,ROUND(Input!$I91/100,3)),ROUND(Input!M91/100,3))</f>
        <v>0</v>
      </c>
      <c r="I103" s="100"/>
      <c r="J103" s="120"/>
      <c r="K103" s="143">
        <f>IF(ISBLANK(Input!P91),IF(ISBLANK(Input!$I91),K$100,ROUND(Input!$I91/100,3)),ROUND(Input!P91/100,3))</f>
        <v>0</v>
      </c>
      <c r="L103" s="100"/>
      <c r="M103" s="120"/>
      <c r="N103" s="201"/>
    </row>
    <row r="104" spans="2:15" s="35" customFormat="1" ht="18" customHeight="1" x14ac:dyDescent="0.25">
      <c r="B104" s="175" t="s">
        <v>28</v>
      </c>
      <c r="C104" s="94"/>
      <c r="D104" s="94"/>
      <c r="E104" s="94"/>
      <c r="F104" s="173" t="s">
        <v>548</v>
      </c>
      <c r="G104" s="174" t="s">
        <v>356</v>
      </c>
      <c r="H104" s="143">
        <f>IF(ISBLANK(Input!M92),IF(ISBLANK(Input!$I92),H$100,ROUND(Input!$I92/100,3)),ROUND(Input!M92/100,3))</f>
        <v>0</v>
      </c>
      <c r="I104" s="100"/>
      <c r="J104" s="120"/>
      <c r="K104" s="143">
        <f>IF(ISBLANK(Input!P92),IF(ISBLANK(Input!$I92),K$100,ROUND(Input!$I92/100,3)),ROUND(Input!P92/100,3))</f>
        <v>0</v>
      </c>
      <c r="L104" s="100"/>
      <c r="M104" s="120"/>
      <c r="N104" s="201"/>
    </row>
    <row r="105" spans="2:15" s="35" customFormat="1" ht="18" customHeight="1" x14ac:dyDescent="0.25">
      <c r="B105" s="181" t="s">
        <v>339</v>
      </c>
      <c r="C105" s="182"/>
      <c r="D105" s="183" t="s">
        <v>537</v>
      </c>
      <c r="E105" s="128" t="s">
        <v>170</v>
      </c>
      <c r="F105" s="128" t="s">
        <v>538</v>
      </c>
      <c r="G105" s="128" t="s">
        <v>540</v>
      </c>
      <c r="H105" s="153" t="s">
        <v>539</v>
      </c>
      <c r="I105" s="183" t="s">
        <v>537</v>
      </c>
      <c r="J105" s="128" t="s">
        <v>170</v>
      </c>
      <c r="K105" s="128" t="s">
        <v>538</v>
      </c>
      <c r="L105" s="128" t="s">
        <v>540</v>
      </c>
      <c r="M105" s="153" t="s">
        <v>539</v>
      </c>
      <c r="N105" s="104"/>
    </row>
    <row r="106" spans="2:15" s="35" customFormat="1" ht="18" customHeight="1" x14ac:dyDescent="0.25">
      <c r="B106" s="124">
        <v>1</v>
      </c>
      <c r="C106" s="17"/>
      <c r="D106" s="179">
        <f>IF(Input!F98="ft",ROUND(Input!D98/5280,2),Input!D98)</f>
        <v>0</v>
      </c>
      <c r="E106" s="129">
        <f>Input!G98</f>
        <v>0</v>
      </c>
      <c r="F106" s="129">
        <f>IF(E106=0,0,ROUND(D106/E106,4))</f>
        <v>0</v>
      </c>
      <c r="G106" s="129">
        <f>Input!J98</f>
        <v>0</v>
      </c>
      <c r="H106" s="184" t="str">
        <f>IF(FirstDetourOption="No Detour","-",IF(AND(ISBLANK(Input!G98),ISBLANK(Input!J98)),"-",ROUND(MAX(F106*60,G106/60),1)))</f>
        <v>-</v>
      </c>
      <c r="I106" s="179">
        <f>IF(Input!Q98="ft",ROUND(Input!O98/5280,2),Input!O98)</f>
        <v>0</v>
      </c>
      <c r="J106" s="129">
        <f>Input!R98</f>
        <v>0</v>
      </c>
      <c r="K106" s="564">
        <f>IF(J106=0,0,ROUND(I106/J106,4))</f>
        <v>0</v>
      </c>
      <c r="L106" s="129">
        <f>Input!U98</f>
        <v>0</v>
      </c>
      <c r="M106" s="184" t="str">
        <f>IF(FirstDetourOption=FirstDirection,IF(AND(ISBLANK(Input!R98),ISBLANK(Input!U98)),"-",ROUND(MAX(K106*60,L106/60),1)),H106)</f>
        <v>-</v>
      </c>
      <c r="N106" s="104"/>
    </row>
    <row r="107" spans="2:15" s="35" customFormat="1" ht="18" customHeight="1" x14ac:dyDescent="0.25">
      <c r="B107" s="124">
        <v>2</v>
      </c>
      <c r="C107" s="17"/>
      <c r="D107" s="179">
        <f>IF(Input!F99="ft",ROUND(Input!D99/5280,2),Input!D99)</f>
        <v>0</v>
      </c>
      <c r="E107" s="129">
        <f>Input!G99</f>
        <v>0</v>
      </c>
      <c r="F107" s="564">
        <f t="shared" ref="F107:F125" si="0">IF(E107=0,0,ROUND(D107/E107,4))</f>
        <v>0</v>
      </c>
      <c r="G107" s="129">
        <f>Input!J99</f>
        <v>0</v>
      </c>
      <c r="H107" s="184" t="str">
        <f>IF(FirstDetourOption="No Detour","-",IF(AND(ISBLANK(Input!G99),ISBLANK(Input!J99)),"-",ROUND(MAX(F107*60,G107/60),1)))</f>
        <v>-</v>
      </c>
      <c r="I107" s="179">
        <f>IF(Input!Q99="ft",ROUND(Input!O99/5280,2),Input!O99)</f>
        <v>0</v>
      </c>
      <c r="J107" s="129">
        <f>Input!R99</f>
        <v>0</v>
      </c>
      <c r="K107" s="564">
        <f t="shared" ref="K107:K125" si="1">IF(J107=0,0,ROUND(I107/J107,4))</f>
        <v>0</v>
      </c>
      <c r="L107" s="129">
        <f>Input!U99</f>
        <v>0</v>
      </c>
      <c r="M107" s="184" t="str">
        <f>IF(FirstDetourOption=FirstDirection,IF(AND(ISBLANK(Input!R99),ISBLANK(Input!U99)),"-",ROUND(MAX(K107*60,L107/60),1)),H107)</f>
        <v>-</v>
      </c>
      <c r="N107" s="104"/>
    </row>
    <row r="108" spans="2:15" s="35" customFormat="1" ht="18" customHeight="1" x14ac:dyDescent="0.25">
      <c r="B108" s="124">
        <v>3</v>
      </c>
      <c r="C108" s="17"/>
      <c r="D108" s="179">
        <f>IF(Input!F100="ft",ROUND(Input!D100/5280,2),Input!D100)</f>
        <v>0</v>
      </c>
      <c r="E108" s="129">
        <f>Input!G100</f>
        <v>0</v>
      </c>
      <c r="F108" s="564">
        <f t="shared" si="0"/>
        <v>0</v>
      </c>
      <c r="G108" s="129">
        <f>Input!J100</f>
        <v>0</v>
      </c>
      <c r="H108" s="184" t="str">
        <f>IF(FirstDetourOption="No Detour","-",IF(AND(ISBLANK(Input!G100),ISBLANK(Input!J100)),"-",ROUND(MAX(F108*60,G108/60),1)))</f>
        <v>-</v>
      </c>
      <c r="I108" s="179">
        <f>IF(Input!Q100="ft",ROUND(Input!O100/5280,2),Input!O100)</f>
        <v>0</v>
      </c>
      <c r="J108" s="129">
        <f>Input!R100</f>
        <v>0</v>
      </c>
      <c r="K108" s="564">
        <f t="shared" si="1"/>
        <v>0</v>
      </c>
      <c r="L108" s="129">
        <f>Input!U100</f>
        <v>0</v>
      </c>
      <c r="M108" s="184" t="str">
        <f>IF(FirstDetourOption=FirstDirection,IF(AND(ISBLANK(Input!R100),ISBLANK(Input!U100)),"-",ROUND(MAX(K108*60,L108/60),1)),H108)</f>
        <v>-</v>
      </c>
      <c r="N108" s="104"/>
    </row>
    <row r="109" spans="2:15" s="35" customFormat="1" ht="18" customHeight="1" x14ac:dyDescent="0.25">
      <c r="B109" s="124">
        <v>4</v>
      </c>
      <c r="C109" s="17"/>
      <c r="D109" s="179">
        <f>IF(Input!F101="ft",ROUND(Input!D101/5280,2),Input!D101)</f>
        <v>0</v>
      </c>
      <c r="E109" s="129">
        <f>Input!G101</f>
        <v>0</v>
      </c>
      <c r="F109" s="564">
        <f t="shared" si="0"/>
        <v>0</v>
      </c>
      <c r="G109" s="129">
        <f>Input!J101</f>
        <v>0</v>
      </c>
      <c r="H109" s="184" t="str">
        <f>IF(FirstDetourOption="No Detour","-",IF(AND(ISBLANK(Input!G101),ISBLANK(Input!J101)),"-",ROUND(MAX(F109*60,G109/60),1)))</f>
        <v>-</v>
      </c>
      <c r="I109" s="179">
        <f>IF(Input!Q101="ft",ROUND(Input!O101/5280,2),Input!O101)</f>
        <v>0</v>
      </c>
      <c r="J109" s="129">
        <f>Input!R101</f>
        <v>0</v>
      </c>
      <c r="K109" s="564">
        <f t="shared" si="1"/>
        <v>0</v>
      </c>
      <c r="L109" s="129">
        <f>Input!U101</f>
        <v>0</v>
      </c>
      <c r="M109" s="184" t="str">
        <f>IF(FirstDetourOption=FirstDirection,IF(AND(ISBLANK(Input!R101),ISBLANK(Input!U101)),"-",ROUND(MAX(K109*60,L109/60),1)),H109)</f>
        <v>-</v>
      </c>
      <c r="N109" s="104"/>
    </row>
    <row r="110" spans="2:15" s="35" customFormat="1" ht="18" customHeight="1" x14ac:dyDescent="0.25">
      <c r="B110" s="177">
        <v>5</v>
      </c>
      <c r="C110" s="17"/>
      <c r="D110" s="179">
        <f>IF(Input!F102="ft",ROUND(Input!D102/5280,2),Input!D102)</f>
        <v>0</v>
      </c>
      <c r="E110" s="129">
        <f>Input!G102</f>
        <v>0</v>
      </c>
      <c r="F110" s="564">
        <f t="shared" si="0"/>
        <v>0</v>
      </c>
      <c r="G110" s="129">
        <f>Input!J102</f>
        <v>0</v>
      </c>
      <c r="H110" s="184" t="str">
        <f>IF(FirstDetourOption="No Detour","-",IF(AND(ISBLANK(Input!G102),ISBLANK(Input!J102)),"-",ROUND(MAX(F110*60,G110/60),1)))</f>
        <v>-</v>
      </c>
      <c r="I110" s="179">
        <f>IF(Input!Q102="ft",ROUND(Input!O102/5280,2),Input!O102)</f>
        <v>0</v>
      </c>
      <c r="J110" s="129">
        <f>Input!R102</f>
        <v>0</v>
      </c>
      <c r="K110" s="564">
        <f t="shared" si="1"/>
        <v>0</v>
      </c>
      <c r="L110" s="129">
        <f>Input!U102</f>
        <v>0</v>
      </c>
      <c r="M110" s="184" t="str">
        <f>IF(FirstDetourOption=FirstDirection,IF(AND(ISBLANK(Input!R102),ISBLANK(Input!U102)),"-",ROUND(MAX(K110*60,L110/60),1)),H110)</f>
        <v>-</v>
      </c>
      <c r="N110" s="104"/>
    </row>
    <row r="111" spans="2:15" s="35" customFormat="1" ht="18" customHeight="1" x14ac:dyDescent="0.25">
      <c r="B111" s="177">
        <v>6</v>
      </c>
      <c r="C111" s="17"/>
      <c r="D111" s="179">
        <f>IF(Input!F103="ft",ROUND(Input!D103/5280,2),Input!D103)</f>
        <v>0</v>
      </c>
      <c r="E111" s="129">
        <f>Input!G103</f>
        <v>0</v>
      </c>
      <c r="F111" s="564">
        <f t="shared" si="0"/>
        <v>0</v>
      </c>
      <c r="G111" s="129">
        <f>Input!J103</f>
        <v>0</v>
      </c>
      <c r="H111" s="184" t="str">
        <f>IF(FirstDetourOption="No Detour","-",IF(AND(ISBLANK(Input!G103),ISBLANK(Input!J103)),"-",ROUND(MAX(F111*60,G111/60),1)))</f>
        <v>-</v>
      </c>
      <c r="I111" s="179">
        <f>IF(Input!Q103="ft",ROUND(Input!O103/5280,2),Input!O103)</f>
        <v>0</v>
      </c>
      <c r="J111" s="129">
        <f>Input!R103</f>
        <v>0</v>
      </c>
      <c r="K111" s="564">
        <f t="shared" si="1"/>
        <v>0</v>
      </c>
      <c r="L111" s="129">
        <f>Input!U103</f>
        <v>0</v>
      </c>
      <c r="M111" s="184" t="str">
        <f>IF(FirstDetourOption=FirstDirection,IF(AND(ISBLANK(Input!R103),ISBLANK(Input!U103)),"-",ROUND(MAX(K111*60,L111/60),1)),H111)</f>
        <v>-</v>
      </c>
      <c r="N111" s="104"/>
    </row>
    <row r="112" spans="2:15" s="35" customFormat="1" ht="18" customHeight="1" x14ac:dyDescent="0.25">
      <c r="B112" s="177">
        <v>7</v>
      </c>
      <c r="C112" s="17"/>
      <c r="D112" s="179">
        <f>IF(Input!F104="ft",ROUND(Input!D104/5280,2),Input!D104)</f>
        <v>0</v>
      </c>
      <c r="E112" s="129">
        <f>Input!G104</f>
        <v>0</v>
      </c>
      <c r="F112" s="564">
        <f t="shared" si="0"/>
        <v>0</v>
      </c>
      <c r="G112" s="129">
        <f>Input!J104</f>
        <v>0</v>
      </c>
      <c r="H112" s="184" t="str">
        <f>IF(FirstDetourOption="No Detour","-",IF(AND(ISBLANK(Input!G104),ISBLANK(Input!J104)),"-",ROUND(MAX(F112*60,G112/60),1)))</f>
        <v>-</v>
      </c>
      <c r="I112" s="179">
        <f>IF(Input!Q104="ft",ROUND(Input!O104/5280,2),Input!O104)</f>
        <v>0</v>
      </c>
      <c r="J112" s="129">
        <f>Input!R104</f>
        <v>0</v>
      </c>
      <c r="K112" s="564">
        <f t="shared" si="1"/>
        <v>0</v>
      </c>
      <c r="L112" s="129">
        <f>Input!U104</f>
        <v>0</v>
      </c>
      <c r="M112" s="184" t="str">
        <f>IF(FirstDetourOption=FirstDirection,IF(AND(ISBLANK(Input!R104),ISBLANK(Input!U104)),"-",ROUND(MAX(K112*60,L112/60),1)),H112)</f>
        <v>-</v>
      </c>
      <c r="N112" s="104"/>
    </row>
    <row r="113" spans="2:14" s="35" customFormat="1" ht="18" customHeight="1" x14ac:dyDescent="0.25">
      <c r="B113" s="177">
        <v>8</v>
      </c>
      <c r="C113" s="17"/>
      <c r="D113" s="179">
        <f>IF(Input!F105="ft",ROUND(Input!D105/5280,2),Input!D105)</f>
        <v>0</v>
      </c>
      <c r="E113" s="129">
        <f>Input!G105</f>
        <v>0</v>
      </c>
      <c r="F113" s="564">
        <f t="shared" si="0"/>
        <v>0</v>
      </c>
      <c r="G113" s="129">
        <f>Input!J105</f>
        <v>0</v>
      </c>
      <c r="H113" s="184" t="str">
        <f>IF(FirstDetourOption="No Detour","-",IF(AND(ISBLANK(Input!G105),ISBLANK(Input!J105)),"-",ROUND(MAX(F113*60,G113/60),1)))</f>
        <v>-</v>
      </c>
      <c r="I113" s="179">
        <f>IF(Input!Q105="ft",ROUND(Input!O105/5280,2),Input!O105)</f>
        <v>0</v>
      </c>
      <c r="J113" s="129">
        <f>Input!R105</f>
        <v>0</v>
      </c>
      <c r="K113" s="564">
        <f t="shared" si="1"/>
        <v>0</v>
      </c>
      <c r="L113" s="129">
        <f>Input!U105</f>
        <v>0</v>
      </c>
      <c r="M113" s="184" t="str">
        <f>IF(FirstDetourOption=FirstDirection,IF(AND(ISBLANK(Input!R105),ISBLANK(Input!U105)),"-",ROUND(MAX(K113*60,L113/60),1)),H113)</f>
        <v>-</v>
      </c>
      <c r="N113" s="104"/>
    </row>
    <row r="114" spans="2:14" s="35" customFormat="1" ht="18" customHeight="1" x14ac:dyDescent="0.25">
      <c r="B114" s="177">
        <v>9</v>
      </c>
      <c r="C114" s="17"/>
      <c r="D114" s="179">
        <f>IF(Input!F106="ft",ROUND(Input!D106/5280,2),Input!D106)</f>
        <v>0</v>
      </c>
      <c r="E114" s="129">
        <f>Input!G106</f>
        <v>0</v>
      </c>
      <c r="F114" s="564">
        <f t="shared" si="0"/>
        <v>0</v>
      </c>
      <c r="G114" s="129">
        <f>Input!J106</f>
        <v>0</v>
      </c>
      <c r="H114" s="184" t="str">
        <f>IF(FirstDetourOption="No Detour","-",IF(AND(ISBLANK(Input!G106),ISBLANK(Input!J106)),"-",ROUND(MAX(F114*60,G114/60),1)))</f>
        <v>-</v>
      </c>
      <c r="I114" s="179">
        <f>IF(Input!Q106="ft",ROUND(Input!O106/5280,2),Input!O106)</f>
        <v>0</v>
      </c>
      <c r="J114" s="129">
        <f>Input!R106</f>
        <v>0</v>
      </c>
      <c r="K114" s="564">
        <f t="shared" si="1"/>
        <v>0</v>
      </c>
      <c r="L114" s="129">
        <f>Input!U106</f>
        <v>0</v>
      </c>
      <c r="M114" s="184" t="str">
        <f>IF(FirstDetourOption=FirstDirection,IF(AND(ISBLANK(Input!R106),ISBLANK(Input!U106)),"-",ROUND(MAX(K114*60,L114/60),1)),H114)</f>
        <v>-</v>
      </c>
      <c r="N114" s="104"/>
    </row>
    <row r="115" spans="2:14" s="35" customFormat="1" ht="18" customHeight="1" x14ac:dyDescent="0.25">
      <c r="B115" s="177">
        <v>10</v>
      </c>
      <c r="C115" s="17"/>
      <c r="D115" s="179">
        <f>IF(Input!F107="ft",ROUND(Input!D107/5280,2),Input!D107)</f>
        <v>0</v>
      </c>
      <c r="E115" s="129">
        <f>Input!G107</f>
        <v>0</v>
      </c>
      <c r="F115" s="564">
        <f t="shared" si="0"/>
        <v>0</v>
      </c>
      <c r="G115" s="129">
        <f>Input!J107</f>
        <v>0</v>
      </c>
      <c r="H115" s="184" t="str">
        <f>IF(FirstDetourOption="No Detour","-",IF(AND(ISBLANK(Input!G107),ISBLANK(Input!J107)),"-",ROUND(MAX(F115*60,G115/60),1)))</f>
        <v>-</v>
      </c>
      <c r="I115" s="179">
        <f>IF(Input!Q107="ft",ROUND(Input!O107/5280,2),Input!O107)</f>
        <v>0</v>
      </c>
      <c r="J115" s="129">
        <f>Input!R107</f>
        <v>0</v>
      </c>
      <c r="K115" s="564">
        <f t="shared" si="1"/>
        <v>0</v>
      </c>
      <c r="L115" s="129">
        <f>Input!U107</f>
        <v>0</v>
      </c>
      <c r="M115" s="184" t="str">
        <f>IF(FirstDetourOption=FirstDirection,IF(AND(ISBLANK(Input!R107),ISBLANK(Input!U107)),"-",ROUND(MAX(K115*60,L115/60),1)),H115)</f>
        <v>-</v>
      </c>
      <c r="N115" s="104"/>
    </row>
    <row r="116" spans="2:14" s="35" customFormat="1" ht="18" customHeight="1" x14ac:dyDescent="0.25">
      <c r="B116" s="177">
        <v>11</v>
      </c>
      <c r="C116" s="17"/>
      <c r="D116" s="179">
        <f>IF(Input!F108="ft",ROUND(Input!D108/5280,2),Input!D108)</f>
        <v>0</v>
      </c>
      <c r="E116" s="129">
        <f>Input!G108</f>
        <v>0</v>
      </c>
      <c r="F116" s="564">
        <f t="shared" si="0"/>
        <v>0</v>
      </c>
      <c r="G116" s="129">
        <f>Input!J108</f>
        <v>0</v>
      </c>
      <c r="H116" s="184" t="str">
        <f>IF(FirstDetourOption="No Detour","-",IF(AND(ISBLANK(Input!G108),ISBLANK(Input!J108)),"-",ROUND(MAX(F116*60,G116/60),1)))</f>
        <v>-</v>
      </c>
      <c r="I116" s="179">
        <f>IF(Input!Q108="ft",ROUND(Input!O108/5280,2),Input!O108)</f>
        <v>0</v>
      </c>
      <c r="J116" s="129">
        <f>Input!R108</f>
        <v>0</v>
      </c>
      <c r="K116" s="564">
        <f t="shared" si="1"/>
        <v>0</v>
      </c>
      <c r="L116" s="129">
        <f>Input!U108</f>
        <v>0</v>
      </c>
      <c r="M116" s="184" t="str">
        <f>IF(FirstDetourOption=FirstDirection,IF(AND(ISBLANK(Input!R108),ISBLANK(Input!U108)),"-",ROUND(MAX(K116*60,L116/60),1)),H116)</f>
        <v>-</v>
      </c>
      <c r="N116" s="104"/>
    </row>
    <row r="117" spans="2:14" s="35" customFormat="1" ht="18" customHeight="1" x14ac:dyDescent="0.25">
      <c r="B117" s="177">
        <v>12</v>
      </c>
      <c r="C117" s="17"/>
      <c r="D117" s="179">
        <f>IF(Input!F109="ft",ROUND(Input!D109/5280,2),Input!D109)</f>
        <v>0</v>
      </c>
      <c r="E117" s="129">
        <f>Input!G109</f>
        <v>0</v>
      </c>
      <c r="F117" s="564">
        <f t="shared" si="0"/>
        <v>0</v>
      </c>
      <c r="G117" s="129">
        <f>Input!J109</f>
        <v>0</v>
      </c>
      <c r="H117" s="184" t="str">
        <f>IF(FirstDetourOption="No Detour","-",IF(AND(ISBLANK(Input!G109),ISBLANK(Input!J109)),"-",ROUND(MAX(F117*60,G117/60),1)))</f>
        <v>-</v>
      </c>
      <c r="I117" s="179">
        <f>IF(Input!Q109="ft",ROUND(Input!O109/5280,2),Input!O109)</f>
        <v>0</v>
      </c>
      <c r="J117" s="129">
        <f>Input!R109</f>
        <v>0</v>
      </c>
      <c r="K117" s="564">
        <f t="shared" si="1"/>
        <v>0</v>
      </c>
      <c r="L117" s="129">
        <f>Input!U109</f>
        <v>0</v>
      </c>
      <c r="M117" s="184" t="str">
        <f>IF(FirstDetourOption=FirstDirection,IF(AND(ISBLANK(Input!R109),ISBLANK(Input!U109)),"-",ROUND(MAX(K117*60,L117/60),1)),H117)</f>
        <v>-</v>
      </c>
      <c r="N117" s="104"/>
    </row>
    <row r="118" spans="2:14" s="35" customFormat="1" ht="18" customHeight="1" x14ac:dyDescent="0.25">
      <c r="B118" s="177">
        <v>13</v>
      </c>
      <c r="C118" s="17"/>
      <c r="D118" s="179">
        <f>IF(Input!F110="ft",ROUND(Input!D110/5280,2),Input!D110)</f>
        <v>0</v>
      </c>
      <c r="E118" s="129">
        <f>Input!G110</f>
        <v>0</v>
      </c>
      <c r="F118" s="564">
        <f t="shared" si="0"/>
        <v>0</v>
      </c>
      <c r="G118" s="129">
        <f>Input!J110</f>
        <v>0</v>
      </c>
      <c r="H118" s="184" t="str">
        <f>IF(FirstDetourOption="No Detour","-",IF(AND(ISBLANK(Input!G110),ISBLANK(Input!J110)),"-",ROUND(MAX(F118*60,G118/60),1)))</f>
        <v>-</v>
      </c>
      <c r="I118" s="179">
        <f>IF(Input!Q110="ft",ROUND(Input!O110/5280,2),Input!O110)</f>
        <v>0</v>
      </c>
      <c r="J118" s="129">
        <f>Input!R110</f>
        <v>0</v>
      </c>
      <c r="K118" s="564">
        <f t="shared" si="1"/>
        <v>0</v>
      </c>
      <c r="L118" s="129">
        <f>Input!U110</f>
        <v>0</v>
      </c>
      <c r="M118" s="184" t="str">
        <f>IF(FirstDetourOption=FirstDirection,IF(AND(ISBLANK(Input!R110),ISBLANK(Input!U110)),"-",ROUND(MAX(K118*60,L118/60),1)),H118)</f>
        <v>-</v>
      </c>
      <c r="N118" s="104"/>
    </row>
    <row r="119" spans="2:14" s="35" customFormat="1" ht="18" customHeight="1" x14ac:dyDescent="0.25">
      <c r="B119" s="177">
        <v>14</v>
      </c>
      <c r="C119" s="17"/>
      <c r="D119" s="179">
        <f>IF(Input!F111="ft",ROUND(Input!D111/5280,2),Input!D111)</f>
        <v>0</v>
      </c>
      <c r="E119" s="129">
        <f>Input!G111</f>
        <v>0</v>
      </c>
      <c r="F119" s="564">
        <f t="shared" si="0"/>
        <v>0</v>
      </c>
      <c r="G119" s="129">
        <f>Input!J111</f>
        <v>0</v>
      </c>
      <c r="H119" s="184" t="str">
        <f>IF(FirstDetourOption="No Detour","-",IF(AND(ISBLANK(Input!G111),ISBLANK(Input!J111)),"-",ROUND(MAX(F119*60,G119/60),1)))</f>
        <v>-</v>
      </c>
      <c r="I119" s="179">
        <f>IF(Input!Q111="ft",ROUND(Input!O111/5280,2),Input!O111)</f>
        <v>0</v>
      </c>
      <c r="J119" s="129">
        <f>Input!R111</f>
        <v>0</v>
      </c>
      <c r="K119" s="564">
        <f t="shared" si="1"/>
        <v>0</v>
      </c>
      <c r="L119" s="129">
        <f>Input!U111</f>
        <v>0</v>
      </c>
      <c r="M119" s="184" t="str">
        <f>IF(FirstDetourOption=FirstDirection,IF(AND(ISBLANK(Input!R111),ISBLANK(Input!U111)),"-",ROUND(MAX(K119*60,L119/60),1)),H119)</f>
        <v>-</v>
      </c>
      <c r="N119" s="104"/>
    </row>
    <row r="120" spans="2:14" s="35" customFormat="1" ht="18" customHeight="1" x14ac:dyDescent="0.25">
      <c r="B120" s="177">
        <v>15</v>
      </c>
      <c r="C120" s="17"/>
      <c r="D120" s="179">
        <f>IF(Input!F112="ft",ROUND(Input!D112/5280,2),Input!D112)</f>
        <v>0</v>
      </c>
      <c r="E120" s="129">
        <f>Input!G112</f>
        <v>0</v>
      </c>
      <c r="F120" s="564">
        <f t="shared" si="0"/>
        <v>0</v>
      </c>
      <c r="G120" s="129">
        <f>Input!J112</f>
        <v>0</v>
      </c>
      <c r="H120" s="184" t="str">
        <f>IF(FirstDetourOption="No Detour","-",IF(AND(ISBLANK(Input!G112),ISBLANK(Input!J112)),"-",ROUND(MAX(F120*60,G120/60),1)))</f>
        <v>-</v>
      </c>
      <c r="I120" s="179">
        <f>IF(Input!Q112="ft",ROUND(Input!O112/5280,2),Input!O112)</f>
        <v>0</v>
      </c>
      <c r="J120" s="129">
        <f>Input!R112</f>
        <v>0</v>
      </c>
      <c r="K120" s="564">
        <f t="shared" si="1"/>
        <v>0</v>
      </c>
      <c r="L120" s="129">
        <f>Input!U112</f>
        <v>0</v>
      </c>
      <c r="M120" s="184" t="str">
        <f>IF(FirstDetourOption=FirstDirection,IF(AND(ISBLANK(Input!R112),ISBLANK(Input!U112)),"-",ROUND(MAX(K120*60,L120/60),1)),H120)</f>
        <v>-</v>
      </c>
      <c r="N120" s="104"/>
    </row>
    <row r="121" spans="2:14" s="35" customFormat="1" ht="18" customHeight="1" x14ac:dyDescent="0.25">
      <c r="B121" s="177">
        <v>16</v>
      </c>
      <c r="C121" s="17"/>
      <c r="D121" s="179">
        <f>IF(Input!F113="ft",ROUND(Input!D113/5280,2),Input!D113)</f>
        <v>0</v>
      </c>
      <c r="E121" s="129">
        <f>Input!G113</f>
        <v>0</v>
      </c>
      <c r="F121" s="564">
        <f t="shared" si="0"/>
        <v>0</v>
      </c>
      <c r="G121" s="129">
        <f>Input!J113</f>
        <v>0</v>
      </c>
      <c r="H121" s="184" t="str">
        <f>IF(FirstDetourOption="No Detour","-",IF(AND(ISBLANK(Input!G113),ISBLANK(Input!J113)),"-",ROUND(MAX(F121*60,G121/60),1)))</f>
        <v>-</v>
      </c>
      <c r="I121" s="179">
        <f>IF(Input!Q113="ft",ROUND(Input!O113/5280,2),Input!O113)</f>
        <v>0</v>
      </c>
      <c r="J121" s="129">
        <f>Input!R113</f>
        <v>0</v>
      </c>
      <c r="K121" s="564">
        <f t="shared" si="1"/>
        <v>0</v>
      </c>
      <c r="L121" s="129">
        <f>Input!U113</f>
        <v>0</v>
      </c>
      <c r="M121" s="184" t="str">
        <f>IF(FirstDetourOption=FirstDirection,IF(AND(ISBLANK(Input!R113),ISBLANK(Input!U113)),"-",ROUND(MAX(K121*60,L121/60),1)),H121)</f>
        <v>-</v>
      </c>
      <c r="N121" s="104"/>
    </row>
    <row r="122" spans="2:14" s="35" customFormat="1" ht="18" customHeight="1" x14ac:dyDescent="0.25">
      <c r="B122" s="177">
        <v>17</v>
      </c>
      <c r="C122" s="17"/>
      <c r="D122" s="179">
        <f>IF(Input!F114="ft",ROUND(Input!D114/5280,2),Input!D114)</f>
        <v>0</v>
      </c>
      <c r="E122" s="129">
        <f>Input!G114</f>
        <v>0</v>
      </c>
      <c r="F122" s="564">
        <f t="shared" si="0"/>
        <v>0</v>
      </c>
      <c r="G122" s="129">
        <f>Input!J114</f>
        <v>0</v>
      </c>
      <c r="H122" s="184" t="str">
        <f>IF(FirstDetourOption="No Detour","-",IF(AND(ISBLANK(Input!G114),ISBLANK(Input!J114)),"-",ROUND(MAX(F122*60,G122/60),1)))</f>
        <v>-</v>
      </c>
      <c r="I122" s="179">
        <f>IF(Input!Q114="ft",ROUND(Input!O114/5280,2),Input!O114)</f>
        <v>0</v>
      </c>
      <c r="J122" s="129">
        <f>Input!R114</f>
        <v>0</v>
      </c>
      <c r="K122" s="564">
        <f t="shared" si="1"/>
        <v>0</v>
      </c>
      <c r="L122" s="129">
        <f>Input!U114</f>
        <v>0</v>
      </c>
      <c r="M122" s="184" t="str">
        <f>IF(FirstDetourOption=FirstDirection,IF(AND(ISBLANK(Input!R114),ISBLANK(Input!U114)),"-",ROUND(MAX(K122*60,L122/60),1)),H122)</f>
        <v>-</v>
      </c>
      <c r="N122" s="104"/>
    </row>
    <row r="123" spans="2:14" s="35" customFormat="1" ht="18" customHeight="1" x14ac:dyDescent="0.25">
      <c r="B123" s="177">
        <v>18</v>
      </c>
      <c r="C123" s="17"/>
      <c r="D123" s="179">
        <f>IF(Input!F115="ft",ROUND(Input!D115/5280,2),Input!D115)</f>
        <v>0</v>
      </c>
      <c r="E123" s="129">
        <f>Input!G115</f>
        <v>0</v>
      </c>
      <c r="F123" s="564">
        <f t="shared" si="0"/>
        <v>0</v>
      </c>
      <c r="G123" s="129">
        <f>Input!J115</f>
        <v>0</v>
      </c>
      <c r="H123" s="184" t="str">
        <f>IF(FirstDetourOption="No Detour","-",IF(AND(ISBLANK(Input!G115),ISBLANK(Input!J115)),"-",ROUND(MAX(F123*60,G123/60),1)))</f>
        <v>-</v>
      </c>
      <c r="I123" s="179">
        <f>IF(Input!Q115="ft",ROUND(Input!O115/5280,2),Input!O115)</f>
        <v>0</v>
      </c>
      <c r="J123" s="129">
        <f>Input!R115</f>
        <v>0</v>
      </c>
      <c r="K123" s="564">
        <f t="shared" si="1"/>
        <v>0</v>
      </c>
      <c r="L123" s="129">
        <f>Input!U115</f>
        <v>0</v>
      </c>
      <c r="M123" s="184" t="str">
        <f>IF(FirstDetourOption=FirstDirection,IF(AND(ISBLANK(Input!R115),ISBLANK(Input!U115)),"-",ROUND(MAX(K123*60,L123/60),1)),H123)</f>
        <v>-</v>
      </c>
      <c r="N123" s="104"/>
    </row>
    <row r="124" spans="2:14" s="35" customFormat="1" ht="18" customHeight="1" x14ac:dyDescent="0.25">
      <c r="B124" s="177">
        <v>19</v>
      </c>
      <c r="C124" s="17"/>
      <c r="D124" s="179">
        <f>IF(Input!F116="ft",ROUND(Input!D116/5280,2),Input!D116)</f>
        <v>0</v>
      </c>
      <c r="E124" s="129">
        <f>Input!G116</f>
        <v>0</v>
      </c>
      <c r="F124" s="564">
        <f t="shared" si="0"/>
        <v>0</v>
      </c>
      <c r="G124" s="129">
        <f>Input!J116</f>
        <v>0</v>
      </c>
      <c r="H124" s="184" t="str">
        <f>IF(FirstDetourOption="No Detour","-",IF(AND(ISBLANK(Input!G116),ISBLANK(Input!J116)),"-",ROUND(MAX(F124*60,G124/60),1)))</f>
        <v>-</v>
      </c>
      <c r="I124" s="179">
        <f>IF(Input!Q116="ft",ROUND(Input!O116/5280,2),Input!O116)</f>
        <v>0</v>
      </c>
      <c r="J124" s="129">
        <f>Input!R116</f>
        <v>0</v>
      </c>
      <c r="K124" s="564">
        <f t="shared" si="1"/>
        <v>0</v>
      </c>
      <c r="L124" s="129">
        <f>Input!U116</f>
        <v>0</v>
      </c>
      <c r="M124" s="184" t="str">
        <f>IF(FirstDetourOption=FirstDirection,IF(AND(ISBLANK(Input!R116),ISBLANK(Input!U116)),"-",ROUND(MAX(K124*60,L124/60),1)),H124)</f>
        <v>-</v>
      </c>
      <c r="N124" s="104"/>
    </row>
    <row r="125" spans="2:14" s="35" customFormat="1" ht="18" customHeight="1" x14ac:dyDescent="0.25">
      <c r="B125" s="177">
        <v>20</v>
      </c>
      <c r="C125" s="17"/>
      <c r="D125" s="179">
        <f>IF(Input!F117="ft",ROUND(Input!D117/5280,2),Input!D117)</f>
        <v>0</v>
      </c>
      <c r="E125" s="129">
        <f>Input!G117</f>
        <v>0</v>
      </c>
      <c r="F125" s="564">
        <f t="shared" si="0"/>
        <v>0</v>
      </c>
      <c r="G125" s="129">
        <f>Input!J117</f>
        <v>0</v>
      </c>
      <c r="H125" s="184" t="str">
        <f>IF(FirstDetourOption="No Detour","-",IF(AND(ISBLANK(Input!G117),ISBLANK(Input!J117)),"-",ROUND(MAX(F125*60,G125/60),1)))</f>
        <v>-</v>
      </c>
      <c r="I125" s="179">
        <f>IF(Input!Q117="ft",ROUND(Input!O117/5280,2),Input!O117)</f>
        <v>0</v>
      </c>
      <c r="J125" s="129">
        <f>Input!R117</f>
        <v>0</v>
      </c>
      <c r="K125" s="564">
        <f t="shared" si="1"/>
        <v>0</v>
      </c>
      <c r="L125" s="129">
        <f>Input!U117</f>
        <v>0</v>
      </c>
      <c r="M125" s="184" t="str">
        <f>IF(FirstDetourOption=FirstDirection,IF(AND(ISBLANK(Input!R117),ISBLANK(Input!U117)),"-",ROUND(MAX(K125*60,L125/60),1)),H125)</f>
        <v>-</v>
      </c>
      <c r="N125" s="104"/>
    </row>
    <row r="126" spans="2:14" s="35" customFormat="1" ht="18" customHeight="1" x14ac:dyDescent="0.25">
      <c r="B126" s="124" t="s">
        <v>239</v>
      </c>
      <c r="C126" s="17"/>
      <c r="D126" s="179" t="str">
        <f>IF(FirstDetourOption="No Detour","",SUM(D106:D125))</f>
        <v/>
      </c>
      <c r="E126" s="180"/>
      <c r="F126" s="180"/>
      <c r="G126" s="180"/>
      <c r="H126" s="184">
        <f>SUM(H106:H125)</f>
        <v>0</v>
      </c>
      <c r="I126" s="179" t="str">
        <f>IF(FirstDetourOption=FirstDirection,SUM(I106:I125),D126)</f>
        <v/>
      </c>
      <c r="J126" s="180"/>
      <c r="K126" s="180"/>
      <c r="L126" s="180"/>
      <c r="M126" s="184">
        <f>IF(FirstDetourOption=FirstDirection,SUM(M106:M125),H126)</f>
        <v>0</v>
      </c>
      <c r="N126" s="180"/>
    </row>
    <row r="127" spans="2:14" s="35" customFormat="1" ht="18" customHeight="1" x14ac:dyDescent="0.25">
      <c r="B127" s="151" t="s">
        <v>542</v>
      </c>
      <c r="C127" s="171"/>
      <c r="D127" s="171"/>
      <c r="E127" s="171"/>
      <c r="F127" s="171"/>
      <c r="G127" s="171"/>
      <c r="H127" s="171"/>
      <c r="I127" s="171"/>
      <c r="J127" s="171"/>
      <c r="K127" s="171"/>
      <c r="L127" s="171"/>
      <c r="M127" s="171"/>
      <c r="N127" s="172"/>
    </row>
    <row r="128" spans="2:14" s="35" customFormat="1" ht="18" customHeight="1" x14ac:dyDescent="0.25">
      <c r="B128" s="95" t="s">
        <v>536</v>
      </c>
      <c r="C128" s="94"/>
      <c r="D128" s="94"/>
      <c r="E128" s="94"/>
      <c r="F128" s="173" t="s">
        <v>549</v>
      </c>
      <c r="G128" s="174" t="s">
        <v>356</v>
      </c>
      <c r="H128" s="143">
        <f>IF(ISBLANK(Input!M123),ROUND(Input!$I123/100,3),ROUND(Input!M123/100,3))</f>
        <v>0</v>
      </c>
      <c r="I128" s="100"/>
      <c r="J128" s="120"/>
      <c r="K128" s="143">
        <f>IF(ISBLANK(Input!P123),ROUND(Input!$I123/100,3),ROUND(Input!P123/100,3))</f>
        <v>0</v>
      </c>
      <c r="L128" s="100"/>
      <c r="M128" s="120"/>
      <c r="N128" s="201"/>
    </row>
    <row r="129" spans="2:14" s="35" customFormat="1" ht="18" customHeight="1" x14ac:dyDescent="0.25">
      <c r="B129" s="175" t="s">
        <v>27</v>
      </c>
      <c r="C129" s="94"/>
      <c r="D129" s="94"/>
      <c r="E129" s="94"/>
      <c r="F129" s="173" t="s">
        <v>550</v>
      </c>
      <c r="G129" s="174" t="s">
        <v>356</v>
      </c>
      <c r="H129" s="143">
        <f>IF(ISBLANK(Input!M124),IF(ISBLANK(Input!$I124),H$128,ROUND(Input!$I124/100,3)),ROUND(Input!M124/100,3))</f>
        <v>0</v>
      </c>
      <c r="I129" s="100"/>
      <c r="J129" s="120"/>
      <c r="K129" s="143">
        <f>IF(ISBLANK(Input!P124),IF(ISBLANK(Input!$I124),K$128,ROUND(Input!$I124/100,3)),ROUND(Input!P124/100,3))</f>
        <v>0</v>
      </c>
      <c r="L129" s="100"/>
      <c r="M129" s="120"/>
      <c r="N129" s="201"/>
    </row>
    <row r="130" spans="2:14" s="35" customFormat="1" ht="18" customHeight="1" x14ac:dyDescent="0.25">
      <c r="B130" s="175" t="s">
        <v>29</v>
      </c>
      <c r="C130" s="94"/>
      <c r="D130" s="94"/>
      <c r="E130" s="94"/>
      <c r="F130" s="173" t="s">
        <v>551</v>
      </c>
      <c r="G130" s="174" t="s">
        <v>356</v>
      </c>
      <c r="H130" s="143">
        <f>IF(ISBLANK(Input!M125),IF(ISBLANK(Input!$I125),H$128,ROUND(Input!$I125/100,3)),ROUND(Input!M125/100,3))</f>
        <v>0</v>
      </c>
      <c r="I130" s="100"/>
      <c r="J130" s="120"/>
      <c r="K130" s="143">
        <f>IF(ISBLANK(Input!P125),IF(ISBLANK(Input!$I125),K$128,ROUND(Input!$I125/100,3)),ROUND(Input!P125/100,3))</f>
        <v>0</v>
      </c>
      <c r="L130" s="100"/>
      <c r="M130" s="120"/>
      <c r="N130" s="201"/>
    </row>
    <row r="131" spans="2:14" s="35" customFormat="1" ht="18" customHeight="1" x14ac:dyDescent="0.25">
      <c r="B131" s="175" t="s">
        <v>30</v>
      </c>
      <c r="C131" s="94"/>
      <c r="D131" s="94"/>
      <c r="E131" s="94"/>
      <c r="F131" s="173" t="s">
        <v>552</v>
      </c>
      <c r="G131" s="174" t="s">
        <v>356</v>
      </c>
      <c r="H131" s="143">
        <f>IF(ISBLANK(Input!M126),IF(ISBLANK(Input!$I126),H$128,ROUND(Input!$I126/100,3)),ROUND(Input!M126/100,3))</f>
        <v>0</v>
      </c>
      <c r="I131" s="100"/>
      <c r="J131" s="120"/>
      <c r="K131" s="143">
        <f>IF(ISBLANK(Input!P126),IF(ISBLANK(Input!$I126),K$128,ROUND(Input!$I126/100,3)),ROUND(Input!P126/100,3))</f>
        <v>0</v>
      </c>
      <c r="L131" s="100"/>
      <c r="M131" s="120"/>
      <c r="N131" s="201"/>
    </row>
    <row r="132" spans="2:14" s="35" customFormat="1" ht="18" customHeight="1" x14ac:dyDescent="0.25">
      <c r="B132" s="175" t="s">
        <v>28</v>
      </c>
      <c r="C132" s="94"/>
      <c r="D132" s="94"/>
      <c r="E132" s="94"/>
      <c r="F132" s="173" t="s">
        <v>553</v>
      </c>
      <c r="G132" s="174" t="s">
        <v>356</v>
      </c>
      <c r="H132" s="143">
        <f>IF(ISBLANK(Input!M127),IF(ISBLANK(Input!$I127),H$128,ROUND(Input!$I127/100,3)),ROUND(Input!M127/100,3))</f>
        <v>0</v>
      </c>
      <c r="I132" s="100"/>
      <c r="J132" s="120"/>
      <c r="K132" s="143">
        <f>IF(ISBLANK(Input!P127),IF(ISBLANK(Input!$I127),K$128,ROUND(Input!$I127/100,3)),ROUND(Input!P127/100,3))</f>
        <v>0</v>
      </c>
      <c r="L132" s="100"/>
      <c r="M132" s="120"/>
      <c r="N132" s="201"/>
    </row>
    <row r="133" spans="2:14" s="35" customFormat="1" ht="18" customHeight="1" x14ac:dyDescent="0.25">
      <c r="B133" s="181" t="s">
        <v>339</v>
      </c>
      <c r="C133" s="182"/>
      <c r="D133" s="183" t="s">
        <v>537</v>
      </c>
      <c r="E133" s="128" t="s">
        <v>170</v>
      </c>
      <c r="F133" s="128" t="s">
        <v>538</v>
      </c>
      <c r="G133" s="128" t="s">
        <v>540</v>
      </c>
      <c r="H133" s="153" t="s">
        <v>539</v>
      </c>
      <c r="I133" s="183" t="s">
        <v>537</v>
      </c>
      <c r="J133" s="128" t="s">
        <v>170</v>
      </c>
      <c r="K133" s="128" t="s">
        <v>538</v>
      </c>
      <c r="L133" s="128" t="s">
        <v>540</v>
      </c>
      <c r="M133" s="153" t="s">
        <v>539</v>
      </c>
      <c r="N133" s="104"/>
    </row>
    <row r="134" spans="2:14" s="35" customFormat="1" ht="18" customHeight="1" x14ac:dyDescent="0.25">
      <c r="B134" s="124">
        <v>1</v>
      </c>
      <c r="C134" s="17"/>
      <c r="D134" s="179">
        <f>IF(Input!F133="ft",ROUND(Input!D133/5280,2),Input!D133)</f>
        <v>0</v>
      </c>
      <c r="E134" s="129">
        <f>Input!G133</f>
        <v>0</v>
      </c>
      <c r="F134" s="129">
        <f>IF(E134=0,0,ROUND(D134/E134,4))</f>
        <v>0</v>
      </c>
      <c r="G134" s="129">
        <f>Input!J133</f>
        <v>0</v>
      </c>
      <c r="H134" s="184" t="str">
        <f>IF(SecondDetourOption="No Detour","-",IF(AND(ISBLANK(Input!G133),ISBLANK(Input!J133)),"-",ROUND(MAX(F134*60,G134/60),1)))</f>
        <v>-</v>
      </c>
      <c r="I134" s="179">
        <f>IF(Input!Q133="ft",ROUND(Input!O133/5280,2),Input!O133)</f>
        <v>0</v>
      </c>
      <c r="J134" s="129">
        <f>Input!R133</f>
        <v>0</v>
      </c>
      <c r="K134" s="564">
        <f>IF(J134=0,0,ROUND(I134/J134,4))</f>
        <v>0</v>
      </c>
      <c r="L134" s="129">
        <f>Input!U133</f>
        <v>0</v>
      </c>
      <c r="M134" s="184" t="str">
        <f>IF(SecondDetourOption=FirstDirection,IF(AND(ISBLANK(Input!R133),ISBLANK(Input!U133)),"-",ROUND(MAX(K134*60,L134/60),1)),H134)</f>
        <v>-</v>
      </c>
      <c r="N134" s="104"/>
    </row>
    <row r="135" spans="2:14" s="35" customFormat="1" ht="18" customHeight="1" x14ac:dyDescent="0.25">
      <c r="B135" s="124">
        <v>2</v>
      </c>
      <c r="C135" s="17"/>
      <c r="D135" s="179">
        <f>IF(Input!F134="ft",ROUND(Input!D134/5280,2),Input!D134)</f>
        <v>0</v>
      </c>
      <c r="E135" s="129">
        <f>Input!G134</f>
        <v>0</v>
      </c>
      <c r="F135" s="564">
        <f t="shared" ref="F135:F153" si="2">IF(E135=0,0,ROUND(D135/E135,4))</f>
        <v>0</v>
      </c>
      <c r="G135" s="129">
        <f>Input!J134</f>
        <v>0</v>
      </c>
      <c r="H135" s="184" t="str">
        <f>IF(SecondDetourOption="No Detour","-",IF(AND(ISBLANK(Input!G134),ISBLANK(Input!J134)),"-",ROUND(MAX(F135*60,G135/60),1)))</f>
        <v>-</v>
      </c>
      <c r="I135" s="179">
        <f>IF(Input!Q134="ft",ROUND(Input!O134/5280,2),Input!O134)</f>
        <v>0</v>
      </c>
      <c r="J135" s="129">
        <f>Input!R134</f>
        <v>0</v>
      </c>
      <c r="K135" s="564">
        <f t="shared" ref="K135:K153" si="3">IF(J135=0,0,ROUND(I135/J135,4))</f>
        <v>0</v>
      </c>
      <c r="L135" s="129">
        <f>Input!U134</f>
        <v>0</v>
      </c>
      <c r="M135" s="184" t="str">
        <f>IF(SecondDetourOption=FirstDirection,IF(AND(ISBLANK(Input!R134),ISBLANK(Input!U134)),"-",ROUND(MAX(K135*60,L135/60),1)),H135)</f>
        <v>-</v>
      </c>
      <c r="N135" s="104"/>
    </row>
    <row r="136" spans="2:14" s="35" customFormat="1" ht="18" customHeight="1" x14ac:dyDescent="0.25">
      <c r="B136" s="124">
        <v>3</v>
      </c>
      <c r="C136" s="17"/>
      <c r="D136" s="179">
        <f>IF(Input!F135="ft",ROUND(Input!D135/5280,2),Input!D135)</f>
        <v>0</v>
      </c>
      <c r="E136" s="129">
        <f>Input!G135</f>
        <v>0</v>
      </c>
      <c r="F136" s="564">
        <f t="shared" si="2"/>
        <v>0</v>
      </c>
      <c r="G136" s="129">
        <f>Input!J135</f>
        <v>0</v>
      </c>
      <c r="H136" s="184" t="str">
        <f>IF(SecondDetourOption="No Detour","-",IF(AND(ISBLANK(Input!G135),ISBLANK(Input!J135)),"-",ROUND(MAX(F136*60,G136/60),1)))</f>
        <v>-</v>
      </c>
      <c r="I136" s="179">
        <f>IF(Input!Q135="ft",ROUND(Input!O135/5280,2),Input!O135)</f>
        <v>0</v>
      </c>
      <c r="J136" s="129">
        <f>Input!R135</f>
        <v>0</v>
      </c>
      <c r="K136" s="564">
        <f t="shared" si="3"/>
        <v>0</v>
      </c>
      <c r="L136" s="129">
        <f>Input!U135</f>
        <v>0</v>
      </c>
      <c r="M136" s="184" t="str">
        <f>IF(SecondDetourOption=FirstDirection,IF(AND(ISBLANK(Input!R135),ISBLANK(Input!U135)),"-",ROUND(MAX(K136*60,L136/60),1)),H136)</f>
        <v>-</v>
      </c>
      <c r="N136" s="104"/>
    </row>
    <row r="137" spans="2:14" s="35" customFormat="1" ht="18" customHeight="1" x14ac:dyDescent="0.25">
      <c r="B137" s="124">
        <v>4</v>
      </c>
      <c r="C137" s="17"/>
      <c r="D137" s="179">
        <f>IF(Input!F136="ft",ROUND(Input!D136/5280,2),Input!D136)</f>
        <v>0</v>
      </c>
      <c r="E137" s="129">
        <f>Input!G136</f>
        <v>0</v>
      </c>
      <c r="F137" s="564">
        <f t="shared" si="2"/>
        <v>0</v>
      </c>
      <c r="G137" s="129">
        <f>Input!J136</f>
        <v>0</v>
      </c>
      <c r="H137" s="184" t="str">
        <f>IF(SecondDetourOption="No Detour","-",IF(AND(ISBLANK(Input!G136),ISBLANK(Input!J136)),"-",ROUND(MAX(F137*60,G137/60),1)))</f>
        <v>-</v>
      </c>
      <c r="I137" s="179">
        <f>IF(Input!Q136="ft",ROUND(Input!O136/5280,2),Input!O136)</f>
        <v>0</v>
      </c>
      <c r="J137" s="129">
        <f>Input!R136</f>
        <v>0</v>
      </c>
      <c r="K137" s="564">
        <f t="shared" si="3"/>
        <v>0</v>
      </c>
      <c r="L137" s="129">
        <f>Input!U136</f>
        <v>0</v>
      </c>
      <c r="M137" s="184" t="str">
        <f>IF(SecondDetourOption=FirstDirection,IF(AND(ISBLANK(Input!R136),ISBLANK(Input!U136)),"-",ROUND(MAX(K137*60,L137/60),1)),H137)</f>
        <v>-</v>
      </c>
      <c r="N137" s="104"/>
    </row>
    <row r="138" spans="2:14" s="35" customFormat="1" ht="18" customHeight="1" x14ac:dyDescent="0.25">
      <c r="B138" s="177">
        <v>5</v>
      </c>
      <c r="C138" s="17"/>
      <c r="D138" s="179">
        <f>IF(Input!F137="ft",ROUND(Input!D137/5280,2),Input!D137)</f>
        <v>0</v>
      </c>
      <c r="E138" s="129">
        <f>Input!G137</f>
        <v>0</v>
      </c>
      <c r="F138" s="564">
        <f t="shared" si="2"/>
        <v>0</v>
      </c>
      <c r="G138" s="129">
        <f>Input!J137</f>
        <v>0</v>
      </c>
      <c r="H138" s="184" t="str">
        <f>IF(SecondDetourOption="No Detour","-",IF(AND(ISBLANK(Input!G137),ISBLANK(Input!J137)),"-",ROUND(MAX(F138*60,G138/60),1)))</f>
        <v>-</v>
      </c>
      <c r="I138" s="179">
        <f>IF(Input!Q137="ft",ROUND(Input!O137/5280,2),Input!O137)</f>
        <v>0</v>
      </c>
      <c r="J138" s="129">
        <f>Input!R137</f>
        <v>0</v>
      </c>
      <c r="K138" s="564">
        <f t="shared" si="3"/>
        <v>0</v>
      </c>
      <c r="L138" s="129">
        <f>Input!U137</f>
        <v>0</v>
      </c>
      <c r="M138" s="184" t="str">
        <f>IF(SecondDetourOption=FirstDirection,IF(AND(ISBLANK(Input!R137),ISBLANK(Input!U137)),"-",ROUND(MAX(K138*60,L138/60),1)),H138)</f>
        <v>-</v>
      </c>
      <c r="N138" s="104"/>
    </row>
    <row r="139" spans="2:14" s="35" customFormat="1" ht="18" customHeight="1" x14ac:dyDescent="0.25">
      <c r="B139" s="177">
        <v>6</v>
      </c>
      <c r="C139" s="17"/>
      <c r="D139" s="179">
        <f>IF(Input!F138="ft",ROUND(Input!D138/5280,2),Input!D138)</f>
        <v>0</v>
      </c>
      <c r="E139" s="129">
        <f>Input!G138</f>
        <v>0</v>
      </c>
      <c r="F139" s="564">
        <f t="shared" si="2"/>
        <v>0</v>
      </c>
      <c r="G139" s="129">
        <f>Input!J138</f>
        <v>0</v>
      </c>
      <c r="H139" s="184" t="str">
        <f>IF(SecondDetourOption="No Detour","-",IF(AND(ISBLANK(Input!G138),ISBLANK(Input!J138)),"-",ROUND(MAX(F139*60,G139/60),1)))</f>
        <v>-</v>
      </c>
      <c r="I139" s="179">
        <f>IF(Input!Q138="ft",ROUND(Input!O138/5280,2),Input!O138)</f>
        <v>0</v>
      </c>
      <c r="J139" s="129">
        <f>Input!R138</f>
        <v>0</v>
      </c>
      <c r="K139" s="564">
        <f t="shared" si="3"/>
        <v>0</v>
      </c>
      <c r="L139" s="129">
        <f>Input!U138</f>
        <v>0</v>
      </c>
      <c r="M139" s="184" t="str">
        <f>IF(SecondDetourOption=FirstDirection,IF(AND(ISBLANK(Input!R138),ISBLANK(Input!U138)),"-",ROUND(MAX(K139*60,L139/60),1)),H139)</f>
        <v>-</v>
      </c>
      <c r="N139" s="104"/>
    </row>
    <row r="140" spans="2:14" s="35" customFormat="1" ht="18" customHeight="1" x14ac:dyDescent="0.25">
      <c r="B140" s="177">
        <v>7</v>
      </c>
      <c r="C140" s="17"/>
      <c r="D140" s="179">
        <f>IF(Input!F139="ft",ROUND(Input!D139/5280,2),Input!D139)</f>
        <v>0</v>
      </c>
      <c r="E140" s="129">
        <f>Input!G139</f>
        <v>0</v>
      </c>
      <c r="F140" s="564">
        <f t="shared" si="2"/>
        <v>0</v>
      </c>
      <c r="G140" s="129">
        <f>Input!J139</f>
        <v>0</v>
      </c>
      <c r="H140" s="184" t="str">
        <f>IF(SecondDetourOption="No Detour","-",IF(AND(ISBLANK(Input!G139),ISBLANK(Input!J139)),"-",ROUND(MAX(F140*60,G140/60),1)))</f>
        <v>-</v>
      </c>
      <c r="I140" s="179">
        <f>IF(Input!Q139="ft",ROUND(Input!O139/5280,2),Input!O139)</f>
        <v>0</v>
      </c>
      <c r="J140" s="129">
        <f>Input!R139</f>
        <v>0</v>
      </c>
      <c r="K140" s="564">
        <f t="shared" si="3"/>
        <v>0</v>
      </c>
      <c r="L140" s="129">
        <f>Input!U139</f>
        <v>0</v>
      </c>
      <c r="M140" s="184" t="str">
        <f>IF(SecondDetourOption=FirstDirection,IF(AND(ISBLANK(Input!R139),ISBLANK(Input!U139)),"-",ROUND(MAX(K140*60,L140/60),1)),H140)</f>
        <v>-</v>
      </c>
      <c r="N140" s="104"/>
    </row>
    <row r="141" spans="2:14" s="35" customFormat="1" ht="18" customHeight="1" x14ac:dyDescent="0.25">
      <c r="B141" s="177">
        <v>8</v>
      </c>
      <c r="C141" s="17"/>
      <c r="D141" s="179">
        <f>IF(Input!F140="ft",ROUND(Input!D140/5280,2),Input!D140)</f>
        <v>0</v>
      </c>
      <c r="E141" s="129">
        <f>Input!G140</f>
        <v>0</v>
      </c>
      <c r="F141" s="564">
        <f t="shared" si="2"/>
        <v>0</v>
      </c>
      <c r="G141" s="129">
        <f>Input!J140</f>
        <v>0</v>
      </c>
      <c r="H141" s="184" t="str">
        <f>IF(SecondDetourOption="No Detour","-",IF(AND(ISBLANK(Input!G140),ISBLANK(Input!J140)),"-",ROUND(MAX(F141*60,G141/60),1)))</f>
        <v>-</v>
      </c>
      <c r="I141" s="179">
        <f>IF(Input!Q140="ft",ROUND(Input!O140/5280,2),Input!O140)</f>
        <v>0</v>
      </c>
      <c r="J141" s="129">
        <f>Input!R140</f>
        <v>0</v>
      </c>
      <c r="K141" s="564">
        <f t="shared" si="3"/>
        <v>0</v>
      </c>
      <c r="L141" s="129">
        <f>Input!U140</f>
        <v>0</v>
      </c>
      <c r="M141" s="184" t="str">
        <f>IF(SecondDetourOption=FirstDirection,IF(AND(ISBLANK(Input!R140),ISBLANK(Input!U140)),"-",ROUND(MAX(K141*60,L141/60),1)),H141)</f>
        <v>-</v>
      </c>
      <c r="N141" s="104"/>
    </row>
    <row r="142" spans="2:14" s="35" customFormat="1" ht="18" customHeight="1" x14ac:dyDescent="0.25">
      <c r="B142" s="177">
        <v>9</v>
      </c>
      <c r="C142" s="17"/>
      <c r="D142" s="179">
        <f>IF(Input!F141="ft",ROUND(Input!D141/5280,2),Input!D141)</f>
        <v>0</v>
      </c>
      <c r="E142" s="129">
        <f>Input!G141</f>
        <v>0</v>
      </c>
      <c r="F142" s="564">
        <f t="shared" si="2"/>
        <v>0</v>
      </c>
      <c r="G142" s="129">
        <f>Input!J141</f>
        <v>0</v>
      </c>
      <c r="H142" s="184" t="str">
        <f>IF(SecondDetourOption="No Detour","-",IF(AND(ISBLANK(Input!G141),ISBLANK(Input!J141)),"-",ROUND(MAX(F142*60,G142/60),1)))</f>
        <v>-</v>
      </c>
      <c r="I142" s="179">
        <f>IF(Input!Q141="ft",ROUND(Input!O141/5280,2),Input!O141)</f>
        <v>0</v>
      </c>
      <c r="J142" s="129">
        <f>Input!R141</f>
        <v>0</v>
      </c>
      <c r="K142" s="564">
        <f t="shared" si="3"/>
        <v>0</v>
      </c>
      <c r="L142" s="129">
        <f>Input!U141</f>
        <v>0</v>
      </c>
      <c r="M142" s="184" t="str">
        <f>IF(SecondDetourOption=FirstDirection,IF(AND(ISBLANK(Input!R141),ISBLANK(Input!U141)),"-",ROUND(MAX(K142*60,L142/60),1)),H142)</f>
        <v>-</v>
      </c>
      <c r="N142" s="104"/>
    </row>
    <row r="143" spans="2:14" s="35" customFormat="1" ht="18" customHeight="1" x14ac:dyDescent="0.25">
      <c r="B143" s="177">
        <v>10</v>
      </c>
      <c r="C143" s="17"/>
      <c r="D143" s="179">
        <f>IF(Input!F142="ft",ROUND(Input!D142/5280,2),Input!D142)</f>
        <v>0</v>
      </c>
      <c r="E143" s="129">
        <f>Input!G142</f>
        <v>0</v>
      </c>
      <c r="F143" s="564">
        <f t="shared" si="2"/>
        <v>0</v>
      </c>
      <c r="G143" s="129">
        <f>Input!J142</f>
        <v>0</v>
      </c>
      <c r="H143" s="184" t="str">
        <f>IF(SecondDetourOption="No Detour","-",IF(AND(ISBLANK(Input!G142),ISBLANK(Input!J142)),"-",ROUND(MAX(F143*60,G143/60),1)))</f>
        <v>-</v>
      </c>
      <c r="I143" s="179">
        <f>IF(Input!Q142="ft",ROUND(Input!O142/5280,2),Input!O142)</f>
        <v>0</v>
      </c>
      <c r="J143" s="129">
        <f>Input!R142</f>
        <v>0</v>
      </c>
      <c r="K143" s="564">
        <f t="shared" si="3"/>
        <v>0</v>
      </c>
      <c r="L143" s="129">
        <f>Input!U142</f>
        <v>0</v>
      </c>
      <c r="M143" s="184" t="str">
        <f>IF(SecondDetourOption=FirstDirection,IF(AND(ISBLANK(Input!R142),ISBLANK(Input!U142)),"-",ROUND(MAX(K143*60,L143/60),1)),H143)</f>
        <v>-</v>
      </c>
      <c r="N143" s="104"/>
    </row>
    <row r="144" spans="2:14" s="35" customFormat="1" ht="18" customHeight="1" x14ac:dyDescent="0.25">
      <c r="B144" s="177">
        <v>11</v>
      </c>
      <c r="C144" s="17"/>
      <c r="D144" s="179">
        <f>IF(Input!F143="ft",ROUND(Input!D143/5280,2),Input!D143)</f>
        <v>0</v>
      </c>
      <c r="E144" s="129">
        <f>Input!G143</f>
        <v>0</v>
      </c>
      <c r="F144" s="564">
        <f t="shared" si="2"/>
        <v>0</v>
      </c>
      <c r="G144" s="129">
        <f>Input!J143</f>
        <v>0</v>
      </c>
      <c r="H144" s="184" t="str">
        <f>IF(SecondDetourOption="No Detour","-",IF(AND(ISBLANK(Input!G143),ISBLANK(Input!J143)),"-",ROUND(MAX(F144*60,G144/60),1)))</f>
        <v>-</v>
      </c>
      <c r="I144" s="179">
        <f>IF(Input!Q143="ft",ROUND(Input!O143/5280,2),Input!O143)</f>
        <v>0</v>
      </c>
      <c r="J144" s="129">
        <f>Input!R143</f>
        <v>0</v>
      </c>
      <c r="K144" s="564">
        <f t="shared" si="3"/>
        <v>0</v>
      </c>
      <c r="L144" s="129">
        <f>Input!U143</f>
        <v>0</v>
      </c>
      <c r="M144" s="184" t="str">
        <f>IF(SecondDetourOption=FirstDirection,IF(AND(ISBLANK(Input!R143),ISBLANK(Input!U143)),"-",ROUND(MAX(K144*60,L144/60),1)),H144)</f>
        <v>-</v>
      </c>
      <c r="N144" s="104"/>
    </row>
    <row r="145" spans="2:14" s="35" customFormat="1" ht="18" customHeight="1" x14ac:dyDescent="0.25">
      <c r="B145" s="177">
        <v>12</v>
      </c>
      <c r="C145" s="17"/>
      <c r="D145" s="179">
        <f>IF(Input!F144="ft",ROUND(Input!D144/5280,2),Input!D144)</f>
        <v>0</v>
      </c>
      <c r="E145" s="129">
        <f>Input!G144</f>
        <v>0</v>
      </c>
      <c r="F145" s="564">
        <f t="shared" si="2"/>
        <v>0</v>
      </c>
      <c r="G145" s="129">
        <f>Input!J144</f>
        <v>0</v>
      </c>
      <c r="H145" s="184" t="str">
        <f>IF(SecondDetourOption="No Detour","-",IF(AND(ISBLANK(Input!G144),ISBLANK(Input!J144)),"-",ROUND(MAX(F145*60,G145/60),1)))</f>
        <v>-</v>
      </c>
      <c r="I145" s="179">
        <f>IF(Input!Q144="ft",ROUND(Input!O144/5280,2),Input!O144)</f>
        <v>0</v>
      </c>
      <c r="J145" s="129">
        <f>Input!R144</f>
        <v>0</v>
      </c>
      <c r="K145" s="564">
        <f t="shared" si="3"/>
        <v>0</v>
      </c>
      <c r="L145" s="129">
        <f>Input!U144</f>
        <v>0</v>
      </c>
      <c r="M145" s="184" t="str">
        <f>IF(SecondDetourOption=FirstDirection,IF(AND(ISBLANK(Input!R144),ISBLANK(Input!U144)),"-",ROUND(MAX(K145*60,L145/60),1)),H145)</f>
        <v>-</v>
      </c>
      <c r="N145" s="104"/>
    </row>
    <row r="146" spans="2:14" s="35" customFormat="1" ht="18" customHeight="1" x14ac:dyDescent="0.25">
      <c r="B146" s="177">
        <v>13</v>
      </c>
      <c r="C146" s="17"/>
      <c r="D146" s="179">
        <f>IF(Input!F145="ft",ROUND(Input!D145/5280,2),Input!D145)</f>
        <v>0</v>
      </c>
      <c r="E146" s="129">
        <f>Input!G145</f>
        <v>0</v>
      </c>
      <c r="F146" s="564">
        <f t="shared" si="2"/>
        <v>0</v>
      </c>
      <c r="G146" s="129">
        <f>Input!J145</f>
        <v>0</v>
      </c>
      <c r="H146" s="184" t="str">
        <f>IF(SecondDetourOption="No Detour","-",IF(AND(ISBLANK(Input!G145),ISBLANK(Input!J145)),"-",ROUND(MAX(F146*60,G146/60),1)))</f>
        <v>-</v>
      </c>
      <c r="I146" s="179">
        <f>IF(Input!Q145="ft",ROUND(Input!O145/5280,2),Input!O145)</f>
        <v>0</v>
      </c>
      <c r="J146" s="129">
        <f>Input!R145</f>
        <v>0</v>
      </c>
      <c r="K146" s="564">
        <f t="shared" si="3"/>
        <v>0</v>
      </c>
      <c r="L146" s="129">
        <f>Input!U145</f>
        <v>0</v>
      </c>
      <c r="M146" s="184" t="str">
        <f>IF(SecondDetourOption=FirstDirection,IF(AND(ISBLANK(Input!R145),ISBLANK(Input!U145)),"-",ROUND(MAX(K146*60,L146/60),1)),H146)</f>
        <v>-</v>
      </c>
      <c r="N146" s="104"/>
    </row>
    <row r="147" spans="2:14" s="35" customFormat="1" ht="18" customHeight="1" x14ac:dyDescent="0.25">
      <c r="B147" s="177">
        <v>14</v>
      </c>
      <c r="C147" s="17"/>
      <c r="D147" s="179">
        <f>IF(Input!F146="ft",ROUND(Input!D146/5280,2),Input!D146)</f>
        <v>0</v>
      </c>
      <c r="E147" s="129">
        <f>Input!G146</f>
        <v>0</v>
      </c>
      <c r="F147" s="564">
        <f t="shared" si="2"/>
        <v>0</v>
      </c>
      <c r="G147" s="129">
        <f>Input!J146</f>
        <v>0</v>
      </c>
      <c r="H147" s="184" t="str">
        <f>IF(SecondDetourOption="No Detour","-",IF(AND(ISBLANK(Input!G146),ISBLANK(Input!J146)),"-",ROUND(MAX(F147*60,G147/60),1)))</f>
        <v>-</v>
      </c>
      <c r="I147" s="179">
        <f>IF(Input!Q146="ft",ROUND(Input!O146/5280,2),Input!O146)</f>
        <v>0</v>
      </c>
      <c r="J147" s="129">
        <f>Input!R146</f>
        <v>0</v>
      </c>
      <c r="K147" s="564">
        <f t="shared" si="3"/>
        <v>0</v>
      </c>
      <c r="L147" s="129">
        <f>Input!U146</f>
        <v>0</v>
      </c>
      <c r="M147" s="184" t="str">
        <f>IF(SecondDetourOption=FirstDirection,IF(AND(ISBLANK(Input!R146),ISBLANK(Input!U146)),"-",ROUND(MAX(K147*60,L147/60),1)),H147)</f>
        <v>-</v>
      </c>
      <c r="N147" s="104"/>
    </row>
    <row r="148" spans="2:14" s="35" customFormat="1" ht="18" customHeight="1" x14ac:dyDescent="0.25">
      <c r="B148" s="177">
        <v>15</v>
      </c>
      <c r="C148" s="17"/>
      <c r="D148" s="179">
        <f>IF(Input!F147="ft",ROUND(Input!D147/5280,2),Input!D147)</f>
        <v>0</v>
      </c>
      <c r="E148" s="129">
        <f>Input!G147</f>
        <v>0</v>
      </c>
      <c r="F148" s="564">
        <f t="shared" si="2"/>
        <v>0</v>
      </c>
      <c r="G148" s="129">
        <f>Input!J147</f>
        <v>0</v>
      </c>
      <c r="H148" s="184" t="str">
        <f>IF(SecondDetourOption="No Detour","-",IF(AND(ISBLANK(Input!G147),ISBLANK(Input!J147)),"-",ROUND(MAX(F148*60,G148/60),1)))</f>
        <v>-</v>
      </c>
      <c r="I148" s="179">
        <f>IF(Input!Q147="ft",ROUND(Input!O147/5280,2),Input!O147)</f>
        <v>0</v>
      </c>
      <c r="J148" s="129">
        <f>Input!R147</f>
        <v>0</v>
      </c>
      <c r="K148" s="564">
        <f t="shared" si="3"/>
        <v>0</v>
      </c>
      <c r="L148" s="129">
        <f>Input!U147</f>
        <v>0</v>
      </c>
      <c r="M148" s="184" t="str">
        <f>IF(SecondDetourOption=FirstDirection,IF(AND(ISBLANK(Input!R147),ISBLANK(Input!U147)),"-",ROUND(MAX(K148*60,L148/60),1)),H148)</f>
        <v>-</v>
      </c>
      <c r="N148" s="104"/>
    </row>
    <row r="149" spans="2:14" s="35" customFormat="1" ht="18" customHeight="1" x14ac:dyDescent="0.25">
      <c r="B149" s="177">
        <v>16</v>
      </c>
      <c r="C149" s="17"/>
      <c r="D149" s="179">
        <f>IF(Input!F148="ft",ROUND(Input!D148/5280,2),Input!D148)</f>
        <v>0</v>
      </c>
      <c r="E149" s="129">
        <f>Input!G148</f>
        <v>0</v>
      </c>
      <c r="F149" s="564">
        <f t="shared" si="2"/>
        <v>0</v>
      </c>
      <c r="G149" s="129">
        <f>Input!J148</f>
        <v>0</v>
      </c>
      <c r="H149" s="184" t="str">
        <f>IF(SecondDetourOption="No Detour","-",IF(AND(ISBLANK(Input!G148),ISBLANK(Input!J148)),"-",ROUND(MAX(F149*60,G149/60),1)))</f>
        <v>-</v>
      </c>
      <c r="I149" s="179">
        <f>IF(Input!Q148="ft",ROUND(Input!O148/5280,2),Input!O148)</f>
        <v>0</v>
      </c>
      <c r="J149" s="129">
        <f>Input!R148</f>
        <v>0</v>
      </c>
      <c r="K149" s="564">
        <f t="shared" si="3"/>
        <v>0</v>
      </c>
      <c r="L149" s="129">
        <f>Input!U148</f>
        <v>0</v>
      </c>
      <c r="M149" s="184" t="str">
        <f>IF(SecondDetourOption=FirstDirection,IF(AND(ISBLANK(Input!R148),ISBLANK(Input!U148)),"-",ROUND(MAX(K149*60,L149/60),1)),H149)</f>
        <v>-</v>
      </c>
      <c r="N149" s="104"/>
    </row>
    <row r="150" spans="2:14" s="35" customFormat="1" ht="18" customHeight="1" x14ac:dyDescent="0.25">
      <c r="B150" s="177">
        <v>17</v>
      </c>
      <c r="C150" s="17"/>
      <c r="D150" s="179">
        <f>IF(Input!F149="ft",ROUND(Input!D149/5280,2),Input!D149)</f>
        <v>0</v>
      </c>
      <c r="E150" s="129">
        <f>Input!G149</f>
        <v>0</v>
      </c>
      <c r="F150" s="564">
        <f t="shared" si="2"/>
        <v>0</v>
      </c>
      <c r="G150" s="129">
        <f>Input!J149</f>
        <v>0</v>
      </c>
      <c r="H150" s="184" t="str">
        <f>IF(SecondDetourOption="No Detour","-",IF(AND(ISBLANK(Input!G149),ISBLANK(Input!J149)),"-",ROUND(MAX(F150*60,G150/60),1)))</f>
        <v>-</v>
      </c>
      <c r="I150" s="179">
        <f>IF(Input!Q149="ft",ROUND(Input!O149/5280,2),Input!O149)</f>
        <v>0</v>
      </c>
      <c r="J150" s="129">
        <f>Input!R149</f>
        <v>0</v>
      </c>
      <c r="K150" s="564">
        <f t="shared" si="3"/>
        <v>0</v>
      </c>
      <c r="L150" s="129">
        <f>Input!U149</f>
        <v>0</v>
      </c>
      <c r="M150" s="184" t="str">
        <f>IF(SecondDetourOption=FirstDirection,IF(AND(ISBLANK(Input!R149),ISBLANK(Input!U149)),"-",ROUND(MAX(K150*60,L150/60),1)),H150)</f>
        <v>-</v>
      </c>
      <c r="N150" s="104"/>
    </row>
    <row r="151" spans="2:14" s="35" customFormat="1" ht="18" customHeight="1" x14ac:dyDescent="0.25">
      <c r="B151" s="177">
        <v>18</v>
      </c>
      <c r="C151" s="17"/>
      <c r="D151" s="179">
        <f>IF(Input!F150="ft",ROUND(Input!D150/5280,2),Input!D150)</f>
        <v>0</v>
      </c>
      <c r="E151" s="129">
        <f>Input!G150</f>
        <v>0</v>
      </c>
      <c r="F151" s="564">
        <f t="shared" si="2"/>
        <v>0</v>
      </c>
      <c r="G151" s="129">
        <f>Input!J150</f>
        <v>0</v>
      </c>
      <c r="H151" s="184" t="str">
        <f>IF(SecondDetourOption="No Detour","-",IF(AND(ISBLANK(Input!G150),ISBLANK(Input!J150)),"-",ROUND(MAX(F151*60,G151/60),1)))</f>
        <v>-</v>
      </c>
      <c r="I151" s="179">
        <f>IF(Input!Q150="ft",ROUND(Input!O150/5280,2),Input!O150)</f>
        <v>0</v>
      </c>
      <c r="J151" s="129">
        <f>Input!R150</f>
        <v>0</v>
      </c>
      <c r="K151" s="564">
        <f t="shared" si="3"/>
        <v>0</v>
      </c>
      <c r="L151" s="129">
        <f>Input!U150</f>
        <v>0</v>
      </c>
      <c r="M151" s="184" t="str">
        <f>IF(SecondDetourOption=FirstDirection,IF(AND(ISBLANK(Input!R150),ISBLANK(Input!U150)),"-",ROUND(MAX(K151*60,L151/60),1)),H151)</f>
        <v>-</v>
      </c>
      <c r="N151" s="104"/>
    </row>
    <row r="152" spans="2:14" s="35" customFormat="1" ht="18" customHeight="1" x14ac:dyDescent="0.25">
      <c r="B152" s="177">
        <v>19</v>
      </c>
      <c r="C152" s="17"/>
      <c r="D152" s="179">
        <f>IF(Input!F151="ft",ROUND(Input!D151/5280,2),Input!D151)</f>
        <v>0</v>
      </c>
      <c r="E152" s="129">
        <f>Input!G151</f>
        <v>0</v>
      </c>
      <c r="F152" s="564">
        <f t="shared" si="2"/>
        <v>0</v>
      </c>
      <c r="G152" s="129">
        <f>Input!J151</f>
        <v>0</v>
      </c>
      <c r="H152" s="184" t="str">
        <f>IF(SecondDetourOption="No Detour","-",IF(AND(ISBLANK(Input!G151),ISBLANK(Input!J151)),"-",ROUND(MAX(F152*60,G152/60),1)))</f>
        <v>-</v>
      </c>
      <c r="I152" s="179">
        <f>IF(Input!Q151="ft",ROUND(Input!O151/5280,2),Input!O151)</f>
        <v>0</v>
      </c>
      <c r="J152" s="129">
        <f>Input!R151</f>
        <v>0</v>
      </c>
      <c r="K152" s="564">
        <f t="shared" si="3"/>
        <v>0</v>
      </c>
      <c r="L152" s="129">
        <f>Input!U151</f>
        <v>0</v>
      </c>
      <c r="M152" s="184" t="str">
        <f>IF(SecondDetourOption=FirstDirection,IF(AND(ISBLANK(Input!R151),ISBLANK(Input!U151)),"-",ROUND(MAX(K152*60,L152/60),1)),H152)</f>
        <v>-</v>
      </c>
      <c r="N152" s="104"/>
    </row>
    <row r="153" spans="2:14" s="35" customFormat="1" ht="18" customHeight="1" x14ac:dyDescent="0.25">
      <c r="B153" s="177">
        <v>20</v>
      </c>
      <c r="C153" s="17"/>
      <c r="D153" s="179">
        <f>IF(Input!F152="ft",ROUND(Input!D152/5280,2),Input!D152)</f>
        <v>0</v>
      </c>
      <c r="E153" s="129">
        <f>Input!G152</f>
        <v>0</v>
      </c>
      <c r="F153" s="564">
        <f t="shared" si="2"/>
        <v>0</v>
      </c>
      <c r="G153" s="129">
        <f>Input!J152</f>
        <v>0</v>
      </c>
      <c r="H153" s="184" t="str">
        <f>IF(SecondDetourOption="No Detour","-",IF(AND(ISBLANK(Input!G152),ISBLANK(Input!J152)),"-",ROUND(MAX(F153*60,G153/60),1)))</f>
        <v>-</v>
      </c>
      <c r="I153" s="179">
        <f>IF(Input!Q152="ft",ROUND(Input!O152/5280,2),Input!O152)</f>
        <v>0</v>
      </c>
      <c r="J153" s="129">
        <f>Input!R152</f>
        <v>0</v>
      </c>
      <c r="K153" s="564">
        <f t="shared" si="3"/>
        <v>0</v>
      </c>
      <c r="L153" s="129">
        <f>Input!U152</f>
        <v>0</v>
      </c>
      <c r="M153" s="184" t="str">
        <f>IF(SecondDetourOption=FirstDirection,IF(AND(ISBLANK(Input!R152),ISBLANK(Input!U152)),"-",ROUND(MAX(K153*60,L153/60),1)),H153)</f>
        <v>-</v>
      </c>
      <c r="N153" s="104"/>
    </row>
    <row r="154" spans="2:14" s="35" customFormat="1" ht="18" customHeight="1" x14ac:dyDescent="0.25">
      <c r="B154" s="124" t="s">
        <v>239</v>
      </c>
      <c r="C154" s="17"/>
      <c r="D154" s="179" t="str">
        <f>IF(SecondDetourOption="No Detour","",SUM(D134:D153))</f>
        <v/>
      </c>
      <c r="E154" s="180"/>
      <c r="F154" s="180"/>
      <c r="G154" s="180"/>
      <c r="H154" s="184">
        <f>SUM(H134:H153)</f>
        <v>0</v>
      </c>
      <c r="I154" s="179" t="str">
        <f>IF(SecondDetourOption=FirstDirection,SUM(I134:I153),D154)</f>
        <v/>
      </c>
      <c r="J154" s="180"/>
      <c r="K154" s="180"/>
      <c r="L154" s="180"/>
      <c r="M154" s="184">
        <f>IF(SecondDetourOption=FirstDirection,SUM(M134:M153),H154)</f>
        <v>0</v>
      </c>
      <c r="N154" s="180"/>
    </row>
    <row r="155" spans="2:14" s="35" customFormat="1" ht="18" customHeight="1" x14ac:dyDescent="0.25">
      <c r="B155" s="151" t="s">
        <v>541</v>
      </c>
      <c r="C155" s="171"/>
      <c r="D155" s="171"/>
      <c r="E155" s="171"/>
      <c r="F155" s="171"/>
      <c r="G155" s="171"/>
      <c r="H155" s="171"/>
      <c r="I155" s="171"/>
      <c r="J155" s="171"/>
      <c r="K155" s="171"/>
      <c r="L155" s="171"/>
      <c r="M155" s="171"/>
      <c r="N155" s="172"/>
    </row>
    <row r="156" spans="2:14" s="35" customFormat="1" ht="18" customHeight="1" x14ac:dyDescent="0.25">
      <c r="B156" s="95" t="s">
        <v>536</v>
      </c>
      <c r="C156" s="94"/>
      <c r="D156" s="94"/>
      <c r="E156" s="94"/>
      <c r="F156" s="173" t="s">
        <v>543</v>
      </c>
      <c r="G156" s="174" t="s">
        <v>356</v>
      </c>
      <c r="H156" s="143">
        <f>IF(ISBLANK(Input!M158),ROUND(Input!$I158/100,3),ROUND(Input!M158/100,3))</f>
        <v>0</v>
      </c>
      <c r="I156" s="100"/>
      <c r="J156" s="120"/>
      <c r="K156" s="143">
        <f>IF(ISBLANK(Input!P158),ROUND(Input!$I158/100,3),ROUND(Input!P158/100,3))</f>
        <v>0</v>
      </c>
      <c r="L156" s="100"/>
      <c r="M156" s="120"/>
      <c r="N156" s="201"/>
    </row>
    <row r="157" spans="2:14" s="35" customFormat="1" ht="18" customHeight="1" x14ac:dyDescent="0.25">
      <c r="B157" s="175" t="s">
        <v>27</v>
      </c>
      <c r="C157" s="94"/>
      <c r="D157" s="94"/>
      <c r="E157" s="94"/>
      <c r="F157" s="173" t="s">
        <v>554</v>
      </c>
      <c r="G157" s="174" t="s">
        <v>356</v>
      </c>
      <c r="H157" s="143">
        <f>IF(ISBLANK(Input!M159),IF(ISBLANK(Input!$I159),H$156,ROUND(Input!$I159/100,3)),ROUND(Input!M159/100,3))</f>
        <v>0</v>
      </c>
      <c r="I157" s="100"/>
      <c r="J157" s="120"/>
      <c r="K157" s="143">
        <f>IF(ISBLANK(Input!P159),IF(ISBLANK(Input!$I159),K$156,ROUND(Input!$I159/100,3)),ROUND(Input!P159/100,3))</f>
        <v>0</v>
      </c>
      <c r="L157" s="100"/>
      <c r="M157" s="120"/>
      <c r="N157" s="201"/>
    </row>
    <row r="158" spans="2:14" s="35" customFormat="1" ht="18" customHeight="1" x14ac:dyDescent="0.25">
      <c r="B158" s="175" t="s">
        <v>29</v>
      </c>
      <c r="C158" s="94"/>
      <c r="D158" s="94"/>
      <c r="E158" s="94"/>
      <c r="F158" s="173" t="s">
        <v>555</v>
      </c>
      <c r="G158" s="174" t="s">
        <v>356</v>
      </c>
      <c r="H158" s="143">
        <f>IF(ISBLANK(Input!M160),IF(ISBLANK(Input!$I160),H$156,ROUND(Input!$I160/100,3)),ROUND(Input!M160/100,3))</f>
        <v>0</v>
      </c>
      <c r="I158" s="100"/>
      <c r="J158" s="120"/>
      <c r="K158" s="143">
        <f>IF(ISBLANK(Input!P160),IF(ISBLANK(Input!$I160),K$156,ROUND(Input!$I160/100,3)),ROUND(Input!P160/100,3))</f>
        <v>0</v>
      </c>
      <c r="L158" s="100"/>
      <c r="M158" s="120"/>
      <c r="N158" s="201"/>
    </row>
    <row r="159" spans="2:14" s="35" customFormat="1" ht="18" customHeight="1" x14ac:dyDescent="0.25">
      <c r="B159" s="175" t="s">
        <v>30</v>
      </c>
      <c r="C159" s="94"/>
      <c r="D159" s="94"/>
      <c r="E159" s="94"/>
      <c r="F159" s="173" t="s">
        <v>556</v>
      </c>
      <c r="G159" s="174" t="s">
        <v>356</v>
      </c>
      <c r="H159" s="143">
        <f>IF(ISBLANK(Input!M161),IF(ISBLANK(Input!$I161),H$156,ROUND(Input!$I161/100,3)),ROUND(Input!M161/100,3))</f>
        <v>0</v>
      </c>
      <c r="I159" s="100"/>
      <c r="J159" s="120"/>
      <c r="K159" s="143">
        <f>IF(ISBLANK(Input!P161),IF(ISBLANK(Input!$I161),K$156,ROUND(Input!$I161/100,3)),ROUND(Input!P161/100,3))</f>
        <v>0</v>
      </c>
      <c r="L159" s="100"/>
      <c r="M159" s="120"/>
      <c r="N159" s="201"/>
    </row>
    <row r="160" spans="2:14" s="35" customFormat="1" ht="18" customHeight="1" x14ac:dyDescent="0.25">
      <c r="B160" s="175" t="s">
        <v>28</v>
      </c>
      <c r="C160" s="94"/>
      <c r="D160" s="94"/>
      <c r="E160" s="94"/>
      <c r="F160" s="173" t="s">
        <v>557</v>
      </c>
      <c r="G160" s="174" t="s">
        <v>356</v>
      </c>
      <c r="H160" s="143">
        <f>IF(ISBLANK(Input!M162),IF(ISBLANK(Input!$I162),H$156,ROUND(Input!$I162/100,3)),ROUND(Input!M162/100,3))</f>
        <v>0</v>
      </c>
      <c r="I160" s="100"/>
      <c r="J160" s="120"/>
      <c r="K160" s="143">
        <f>IF(ISBLANK(Input!P162),IF(ISBLANK(Input!$I162),K$156,ROUND(Input!$I162/100,3)),ROUND(Input!P162/100,3))</f>
        <v>0</v>
      </c>
      <c r="L160" s="100"/>
      <c r="M160" s="120"/>
      <c r="N160" s="201"/>
    </row>
    <row r="161" spans="2:14" s="35" customFormat="1" ht="18" customHeight="1" x14ac:dyDescent="0.25">
      <c r="B161" s="181" t="s">
        <v>339</v>
      </c>
      <c r="C161" s="182"/>
      <c r="D161" s="183" t="s">
        <v>537</v>
      </c>
      <c r="E161" s="128" t="s">
        <v>170</v>
      </c>
      <c r="F161" s="128" t="s">
        <v>538</v>
      </c>
      <c r="G161" s="128" t="s">
        <v>540</v>
      </c>
      <c r="H161" s="153" t="s">
        <v>539</v>
      </c>
      <c r="I161" s="183" t="s">
        <v>537</v>
      </c>
      <c r="J161" s="128" t="s">
        <v>170</v>
      </c>
      <c r="K161" s="128" t="s">
        <v>538</v>
      </c>
      <c r="L161" s="128" t="s">
        <v>540</v>
      </c>
      <c r="M161" s="153" t="s">
        <v>539</v>
      </c>
      <c r="N161" s="104"/>
    </row>
    <row r="162" spans="2:14" s="35" customFormat="1" ht="18" customHeight="1" x14ac:dyDescent="0.25">
      <c r="B162" s="124">
        <v>1</v>
      </c>
      <c r="C162" s="17"/>
      <c r="D162" s="179">
        <f>IF(Input!F168="ft",ROUND(Input!D168/5280,2),Input!D168)</f>
        <v>0</v>
      </c>
      <c r="E162" s="129">
        <f>Input!G168</f>
        <v>0</v>
      </c>
      <c r="F162" s="129">
        <f>IF(E162=0,0,ROUND(D162/E162,4))</f>
        <v>0</v>
      </c>
      <c r="G162" s="129">
        <f>Input!J168</f>
        <v>0</v>
      </c>
      <c r="H162" s="184" t="str">
        <f>IF(ThirdDetourOption="No Detour","-",IF(AND(ISBLANK(Input!G168),ISBLANK(Input!J168)),"-",ROUND(MAX(F162*60,G162/60),1)))</f>
        <v>-</v>
      </c>
      <c r="I162" s="179">
        <f>IF(Input!Q168="ft",ROUND(Input!O168/5280,2),Input!O168)</f>
        <v>0</v>
      </c>
      <c r="J162" s="129">
        <f>Input!R168</f>
        <v>0</v>
      </c>
      <c r="K162" s="564">
        <f>IF(J162=0,0,ROUND(I162/J162,4))</f>
        <v>0</v>
      </c>
      <c r="L162" s="129">
        <f>Input!U168</f>
        <v>0</v>
      </c>
      <c r="M162" s="184" t="str">
        <f>IF(ThirdDetourOption=FirstDirection,IF(AND(ISBLANK(Input!R168),ISBLANK(Input!U168)),"-",ROUND(MAX(K162*60,L162/60),1)),H162)</f>
        <v>-</v>
      </c>
      <c r="N162" s="104"/>
    </row>
    <row r="163" spans="2:14" s="35" customFormat="1" ht="18" customHeight="1" x14ac:dyDescent="0.25">
      <c r="B163" s="124">
        <v>2</v>
      </c>
      <c r="C163" s="17"/>
      <c r="D163" s="179">
        <f>IF(Input!F169="ft",ROUND(Input!D169/5280,2),Input!D169)</f>
        <v>0</v>
      </c>
      <c r="E163" s="129">
        <f>Input!G169</f>
        <v>0</v>
      </c>
      <c r="F163" s="564">
        <f t="shared" ref="F163:F181" si="4">IF(E163=0,0,ROUND(D163/E163,4))</f>
        <v>0</v>
      </c>
      <c r="G163" s="129">
        <f>Input!J169</f>
        <v>0</v>
      </c>
      <c r="H163" s="184" t="str">
        <f>IF(ThirdDetourOption="No Detour","-",IF(AND(ISBLANK(Input!G169),ISBLANK(Input!J169)),"-",ROUND(MAX(F163*60,G163/60),1)))</f>
        <v>-</v>
      </c>
      <c r="I163" s="179">
        <f>IF(Input!Q169="ft",ROUND(Input!O169/5280,2),Input!O169)</f>
        <v>0</v>
      </c>
      <c r="J163" s="129">
        <f>Input!R169</f>
        <v>0</v>
      </c>
      <c r="K163" s="564">
        <f t="shared" ref="K163:K181" si="5">IF(J163=0,0,ROUND(I163/J163,4))</f>
        <v>0</v>
      </c>
      <c r="L163" s="129">
        <f>Input!U169</f>
        <v>0</v>
      </c>
      <c r="M163" s="184" t="str">
        <f>IF(ThirdDetourOption=FirstDirection,IF(AND(ISBLANK(Input!R169),ISBLANK(Input!U169)),"-",ROUND(MAX(K163*60,L163/60),1)),H163)</f>
        <v>-</v>
      </c>
      <c r="N163" s="104"/>
    </row>
    <row r="164" spans="2:14" s="35" customFormat="1" ht="18" customHeight="1" x14ac:dyDescent="0.25">
      <c r="B164" s="124">
        <v>3</v>
      </c>
      <c r="C164" s="17"/>
      <c r="D164" s="179">
        <f>IF(Input!F170="ft",ROUND(Input!D170/5280,2),Input!D170)</f>
        <v>0</v>
      </c>
      <c r="E164" s="129">
        <f>Input!G170</f>
        <v>0</v>
      </c>
      <c r="F164" s="564">
        <f t="shared" si="4"/>
        <v>0</v>
      </c>
      <c r="G164" s="129">
        <f>Input!J170</f>
        <v>0</v>
      </c>
      <c r="H164" s="184" t="str">
        <f>IF(ThirdDetourOption="No Detour","-",IF(AND(ISBLANK(Input!G170),ISBLANK(Input!J170)),"-",ROUND(MAX(F164*60,G164/60),1)))</f>
        <v>-</v>
      </c>
      <c r="I164" s="179">
        <f>IF(Input!Q170="ft",ROUND(Input!O170/5280,2),Input!O170)</f>
        <v>0</v>
      </c>
      <c r="J164" s="129">
        <f>Input!R170</f>
        <v>0</v>
      </c>
      <c r="K164" s="564">
        <f t="shared" si="5"/>
        <v>0</v>
      </c>
      <c r="L164" s="129">
        <f>Input!U170</f>
        <v>0</v>
      </c>
      <c r="M164" s="184" t="str">
        <f>IF(ThirdDetourOption=FirstDirection,IF(AND(ISBLANK(Input!R170),ISBLANK(Input!U170)),"-",ROUND(MAX(K164*60,L164/60),1)),H164)</f>
        <v>-</v>
      </c>
      <c r="N164" s="104"/>
    </row>
    <row r="165" spans="2:14" s="35" customFormat="1" ht="18" customHeight="1" x14ac:dyDescent="0.25">
      <c r="B165" s="124">
        <v>4</v>
      </c>
      <c r="C165" s="17"/>
      <c r="D165" s="179">
        <f>IF(Input!F171="ft",ROUND(Input!D171/5280,2),Input!D171)</f>
        <v>0</v>
      </c>
      <c r="E165" s="129">
        <f>Input!G171</f>
        <v>0</v>
      </c>
      <c r="F165" s="564">
        <f t="shared" si="4"/>
        <v>0</v>
      </c>
      <c r="G165" s="129">
        <f>Input!J171</f>
        <v>0</v>
      </c>
      <c r="H165" s="184" t="str">
        <f>IF(ThirdDetourOption="No Detour","-",IF(AND(ISBLANK(Input!G171),ISBLANK(Input!J171)),"-",ROUND(MAX(F165*60,G165/60),1)))</f>
        <v>-</v>
      </c>
      <c r="I165" s="179">
        <f>IF(Input!Q171="ft",ROUND(Input!O171/5280,2),Input!O171)</f>
        <v>0</v>
      </c>
      <c r="J165" s="129">
        <f>Input!R171</f>
        <v>0</v>
      </c>
      <c r="K165" s="564">
        <f t="shared" si="5"/>
        <v>0</v>
      </c>
      <c r="L165" s="129">
        <f>Input!U171</f>
        <v>0</v>
      </c>
      <c r="M165" s="184" t="str">
        <f>IF(ThirdDetourOption=FirstDirection,IF(AND(ISBLANK(Input!R171),ISBLANK(Input!U171)),"-",ROUND(MAX(K165*60,L165/60),1)),H165)</f>
        <v>-</v>
      </c>
      <c r="N165" s="104"/>
    </row>
    <row r="166" spans="2:14" s="35" customFormat="1" ht="18" customHeight="1" x14ac:dyDescent="0.25">
      <c r="B166" s="177">
        <v>5</v>
      </c>
      <c r="C166" s="17"/>
      <c r="D166" s="179">
        <f>IF(Input!F172="ft",ROUND(Input!D172/5280,2),Input!D172)</f>
        <v>0</v>
      </c>
      <c r="E166" s="129">
        <f>Input!G172</f>
        <v>0</v>
      </c>
      <c r="F166" s="564">
        <f t="shared" si="4"/>
        <v>0</v>
      </c>
      <c r="G166" s="129">
        <f>Input!J172</f>
        <v>0</v>
      </c>
      <c r="H166" s="184" t="str">
        <f>IF(ThirdDetourOption="No Detour","-",IF(AND(ISBLANK(Input!G172),ISBLANK(Input!J172)),"-",ROUND(MAX(F166*60,G166/60),1)))</f>
        <v>-</v>
      </c>
      <c r="I166" s="179">
        <f>IF(Input!Q172="ft",ROUND(Input!O172/5280,2),Input!O172)</f>
        <v>0</v>
      </c>
      <c r="J166" s="129">
        <f>Input!R172</f>
        <v>0</v>
      </c>
      <c r="K166" s="564">
        <f t="shared" si="5"/>
        <v>0</v>
      </c>
      <c r="L166" s="129">
        <f>Input!U172</f>
        <v>0</v>
      </c>
      <c r="M166" s="184" t="str">
        <f>IF(ThirdDetourOption=FirstDirection,IF(AND(ISBLANK(Input!R172),ISBLANK(Input!U172)),"-",ROUND(MAX(K166*60,L166/60),1)),H166)</f>
        <v>-</v>
      </c>
      <c r="N166" s="104"/>
    </row>
    <row r="167" spans="2:14" s="35" customFormat="1" ht="18" customHeight="1" x14ac:dyDescent="0.25">
      <c r="B167" s="177">
        <v>6</v>
      </c>
      <c r="C167" s="17"/>
      <c r="D167" s="179">
        <f>IF(Input!F173="ft",ROUND(Input!D173/5280,2),Input!D173)</f>
        <v>0</v>
      </c>
      <c r="E167" s="129">
        <f>Input!G173</f>
        <v>0</v>
      </c>
      <c r="F167" s="564">
        <f t="shared" si="4"/>
        <v>0</v>
      </c>
      <c r="G167" s="129">
        <f>Input!J173</f>
        <v>0</v>
      </c>
      <c r="H167" s="184" t="str">
        <f>IF(ThirdDetourOption="No Detour","-",IF(AND(ISBLANK(Input!G173),ISBLANK(Input!J173)),"-",ROUND(MAX(F167*60,G167/60),1)))</f>
        <v>-</v>
      </c>
      <c r="I167" s="179">
        <f>IF(Input!Q173="ft",ROUND(Input!O173/5280,2),Input!O173)</f>
        <v>0</v>
      </c>
      <c r="J167" s="129">
        <f>Input!R173</f>
        <v>0</v>
      </c>
      <c r="K167" s="564">
        <f t="shared" si="5"/>
        <v>0</v>
      </c>
      <c r="L167" s="129">
        <f>Input!U173</f>
        <v>0</v>
      </c>
      <c r="M167" s="184" t="str">
        <f>IF(ThirdDetourOption=FirstDirection,IF(AND(ISBLANK(Input!R173),ISBLANK(Input!U173)),"-",ROUND(MAX(K167*60,L167/60),1)),H167)</f>
        <v>-</v>
      </c>
      <c r="N167" s="104"/>
    </row>
    <row r="168" spans="2:14" s="35" customFormat="1" ht="18" customHeight="1" x14ac:dyDescent="0.25">
      <c r="B168" s="177">
        <v>7</v>
      </c>
      <c r="C168" s="17"/>
      <c r="D168" s="179">
        <f>IF(Input!F174="ft",ROUND(Input!D174/5280,2),Input!D174)</f>
        <v>0</v>
      </c>
      <c r="E168" s="129">
        <f>Input!G174</f>
        <v>0</v>
      </c>
      <c r="F168" s="564">
        <f t="shared" si="4"/>
        <v>0</v>
      </c>
      <c r="G168" s="129">
        <f>Input!J174</f>
        <v>0</v>
      </c>
      <c r="H168" s="184" t="str">
        <f>IF(ThirdDetourOption="No Detour","-",IF(AND(ISBLANK(Input!G174),ISBLANK(Input!J174)),"-",ROUND(MAX(F168*60,G168/60),1)))</f>
        <v>-</v>
      </c>
      <c r="I168" s="179">
        <f>IF(Input!Q174="ft",ROUND(Input!O174/5280,2),Input!O174)</f>
        <v>0</v>
      </c>
      <c r="J168" s="129">
        <f>Input!R174</f>
        <v>0</v>
      </c>
      <c r="K168" s="564">
        <f t="shared" si="5"/>
        <v>0</v>
      </c>
      <c r="L168" s="129">
        <f>Input!U174</f>
        <v>0</v>
      </c>
      <c r="M168" s="184" t="str">
        <f>IF(ThirdDetourOption=FirstDirection,IF(AND(ISBLANK(Input!R174),ISBLANK(Input!U174)),"-",ROUND(MAX(K168*60,L168/60),1)),H168)</f>
        <v>-</v>
      </c>
      <c r="N168" s="104"/>
    </row>
    <row r="169" spans="2:14" s="35" customFormat="1" ht="18" customHeight="1" x14ac:dyDescent="0.25">
      <c r="B169" s="177">
        <v>8</v>
      </c>
      <c r="C169" s="17"/>
      <c r="D169" s="179">
        <f>IF(Input!F175="ft",ROUND(Input!D175/5280,2),Input!D175)</f>
        <v>0</v>
      </c>
      <c r="E169" s="129">
        <f>Input!G175</f>
        <v>0</v>
      </c>
      <c r="F169" s="564">
        <f t="shared" si="4"/>
        <v>0</v>
      </c>
      <c r="G169" s="129">
        <f>Input!J175</f>
        <v>0</v>
      </c>
      <c r="H169" s="184" t="str">
        <f>IF(ThirdDetourOption="No Detour","-",IF(AND(ISBLANK(Input!G175),ISBLANK(Input!J175)),"-",ROUND(MAX(F169*60,G169/60),1)))</f>
        <v>-</v>
      </c>
      <c r="I169" s="179">
        <f>IF(Input!Q175="ft",ROUND(Input!O175/5280,2),Input!O175)</f>
        <v>0</v>
      </c>
      <c r="J169" s="129">
        <f>Input!R175</f>
        <v>0</v>
      </c>
      <c r="K169" s="564">
        <f t="shared" si="5"/>
        <v>0</v>
      </c>
      <c r="L169" s="129">
        <f>Input!U175</f>
        <v>0</v>
      </c>
      <c r="M169" s="184" t="str">
        <f>IF(ThirdDetourOption=FirstDirection,IF(AND(ISBLANK(Input!R175),ISBLANK(Input!U175)),"-",ROUND(MAX(K169*60,L169/60),1)),H169)</f>
        <v>-</v>
      </c>
      <c r="N169" s="104"/>
    </row>
    <row r="170" spans="2:14" s="35" customFormat="1" ht="18" customHeight="1" x14ac:dyDescent="0.25">
      <c r="B170" s="177">
        <v>9</v>
      </c>
      <c r="C170" s="17"/>
      <c r="D170" s="179">
        <f>IF(Input!F176="ft",ROUND(Input!D176/5280,2),Input!D176)</f>
        <v>0</v>
      </c>
      <c r="E170" s="129">
        <f>Input!G176</f>
        <v>0</v>
      </c>
      <c r="F170" s="564">
        <f t="shared" si="4"/>
        <v>0</v>
      </c>
      <c r="G170" s="129">
        <f>Input!J176</f>
        <v>0</v>
      </c>
      <c r="H170" s="184" t="str">
        <f>IF(ThirdDetourOption="No Detour","-",IF(AND(ISBLANK(Input!G176),ISBLANK(Input!J176)),"-",ROUND(MAX(F170*60,G170/60),1)))</f>
        <v>-</v>
      </c>
      <c r="I170" s="179">
        <f>IF(Input!Q176="ft",ROUND(Input!O176/5280,2),Input!O176)</f>
        <v>0</v>
      </c>
      <c r="J170" s="129">
        <f>Input!R176</f>
        <v>0</v>
      </c>
      <c r="K170" s="564">
        <f t="shared" si="5"/>
        <v>0</v>
      </c>
      <c r="L170" s="129">
        <f>Input!U176</f>
        <v>0</v>
      </c>
      <c r="M170" s="184" t="str">
        <f>IF(ThirdDetourOption=FirstDirection,IF(AND(ISBLANK(Input!R176),ISBLANK(Input!U176)),"-",ROUND(MAX(K170*60,L170/60),1)),H170)</f>
        <v>-</v>
      </c>
      <c r="N170" s="104"/>
    </row>
    <row r="171" spans="2:14" s="35" customFormat="1" ht="18" customHeight="1" x14ac:dyDescent="0.25">
      <c r="B171" s="177">
        <v>10</v>
      </c>
      <c r="C171" s="17"/>
      <c r="D171" s="179">
        <f>IF(Input!F177="ft",ROUND(Input!D177/5280,2),Input!D177)</f>
        <v>0</v>
      </c>
      <c r="E171" s="129">
        <f>Input!G177</f>
        <v>0</v>
      </c>
      <c r="F171" s="564">
        <f t="shared" si="4"/>
        <v>0</v>
      </c>
      <c r="G171" s="129">
        <f>Input!J177</f>
        <v>0</v>
      </c>
      <c r="H171" s="184" t="str">
        <f>IF(ThirdDetourOption="No Detour","-",IF(AND(ISBLANK(Input!G177),ISBLANK(Input!J177)),"-",ROUND(MAX(F171*60,G171/60),1)))</f>
        <v>-</v>
      </c>
      <c r="I171" s="179">
        <f>IF(Input!Q177="ft",ROUND(Input!O177/5280,2),Input!O177)</f>
        <v>0</v>
      </c>
      <c r="J171" s="129">
        <f>Input!R177</f>
        <v>0</v>
      </c>
      <c r="K171" s="564">
        <f t="shared" si="5"/>
        <v>0</v>
      </c>
      <c r="L171" s="129">
        <f>Input!U177</f>
        <v>0</v>
      </c>
      <c r="M171" s="184" t="str">
        <f>IF(ThirdDetourOption=FirstDirection,IF(AND(ISBLANK(Input!R177),ISBLANK(Input!U177)),"-",ROUND(MAX(K171*60,L171/60),1)),H171)</f>
        <v>-</v>
      </c>
      <c r="N171" s="104"/>
    </row>
    <row r="172" spans="2:14" s="35" customFormat="1" ht="18" customHeight="1" x14ac:dyDescent="0.25">
      <c r="B172" s="177">
        <v>11</v>
      </c>
      <c r="C172" s="17"/>
      <c r="D172" s="179">
        <f>IF(Input!F178="ft",ROUND(Input!D178/5280,2),Input!D178)</f>
        <v>0</v>
      </c>
      <c r="E172" s="129">
        <f>Input!G178</f>
        <v>0</v>
      </c>
      <c r="F172" s="564">
        <f t="shared" si="4"/>
        <v>0</v>
      </c>
      <c r="G172" s="129">
        <f>Input!J178</f>
        <v>0</v>
      </c>
      <c r="H172" s="184" t="str">
        <f>IF(ThirdDetourOption="No Detour","-",IF(AND(ISBLANK(Input!G178),ISBLANK(Input!J178)),"-",ROUND(MAX(F172*60,G172/60),1)))</f>
        <v>-</v>
      </c>
      <c r="I172" s="179">
        <f>IF(Input!Q178="ft",ROUND(Input!O178/5280,2),Input!O178)</f>
        <v>0</v>
      </c>
      <c r="J172" s="129">
        <f>Input!R178</f>
        <v>0</v>
      </c>
      <c r="K172" s="564">
        <f t="shared" si="5"/>
        <v>0</v>
      </c>
      <c r="L172" s="129">
        <f>Input!U178</f>
        <v>0</v>
      </c>
      <c r="M172" s="184" t="str">
        <f>IF(ThirdDetourOption=FirstDirection,IF(AND(ISBLANK(Input!R178),ISBLANK(Input!U178)),"-",ROUND(MAX(K172*60,L172/60),1)),H172)</f>
        <v>-</v>
      </c>
      <c r="N172" s="104"/>
    </row>
    <row r="173" spans="2:14" s="35" customFormat="1" ht="18" customHeight="1" x14ac:dyDescent="0.25">
      <c r="B173" s="177">
        <v>12</v>
      </c>
      <c r="C173" s="17"/>
      <c r="D173" s="179">
        <f>IF(Input!F179="ft",ROUND(Input!D179/5280,2),Input!D179)</f>
        <v>0</v>
      </c>
      <c r="E173" s="129">
        <f>Input!G179</f>
        <v>0</v>
      </c>
      <c r="F173" s="564">
        <f t="shared" si="4"/>
        <v>0</v>
      </c>
      <c r="G173" s="129">
        <f>Input!J179</f>
        <v>0</v>
      </c>
      <c r="H173" s="184" t="str">
        <f>IF(ThirdDetourOption="No Detour","-",IF(AND(ISBLANK(Input!G179),ISBLANK(Input!J179)),"-",ROUND(MAX(F173*60,G173/60),1)))</f>
        <v>-</v>
      </c>
      <c r="I173" s="179">
        <f>IF(Input!Q179="ft",ROUND(Input!O179/5280,2),Input!O179)</f>
        <v>0</v>
      </c>
      <c r="J173" s="129">
        <f>Input!R179</f>
        <v>0</v>
      </c>
      <c r="K173" s="564">
        <f t="shared" si="5"/>
        <v>0</v>
      </c>
      <c r="L173" s="129">
        <f>Input!U179</f>
        <v>0</v>
      </c>
      <c r="M173" s="184" t="str">
        <f>IF(ThirdDetourOption=FirstDirection,IF(AND(ISBLANK(Input!R179),ISBLANK(Input!U179)),"-",ROUND(MAX(K173*60,L173/60),1)),H173)</f>
        <v>-</v>
      </c>
      <c r="N173" s="104"/>
    </row>
    <row r="174" spans="2:14" s="35" customFormat="1" ht="18" customHeight="1" x14ac:dyDescent="0.25">
      <c r="B174" s="177">
        <v>13</v>
      </c>
      <c r="C174" s="17"/>
      <c r="D174" s="179">
        <f>IF(Input!F180="ft",ROUND(Input!D180/5280,2),Input!D180)</f>
        <v>0</v>
      </c>
      <c r="E174" s="129">
        <f>Input!G180</f>
        <v>0</v>
      </c>
      <c r="F174" s="564">
        <f t="shared" si="4"/>
        <v>0</v>
      </c>
      <c r="G174" s="129">
        <f>Input!J180</f>
        <v>0</v>
      </c>
      <c r="H174" s="184" t="str">
        <f>IF(ThirdDetourOption="No Detour","-",IF(AND(ISBLANK(Input!G180),ISBLANK(Input!J180)),"-",ROUND(MAX(F174*60,G174/60),1)))</f>
        <v>-</v>
      </c>
      <c r="I174" s="179">
        <f>IF(Input!Q180="ft",ROUND(Input!O180/5280,2),Input!O180)</f>
        <v>0</v>
      </c>
      <c r="J174" s="129">
        <f>Input!R180</f>
        <v>0</v>
      </c>
      <c r="K174" s="564">
        <f t="shared" si="5"/>
        <v>0</v>
      </c>
      <c r="L174" s="129">
        <f>Input!U180</f>
        <v>0</v>
      </c>
      <c r="M174" s="184" t="str">
        <f>IF(ThirdDetourOption=FirstDirection,IF(AND(ISBLANK(Input!R180),ISBLANK(Input!U180)),"-",ROUND(MAX(K174*60,L174/60),1)),H174)</f>
        <v>-</v>
      </c>
      <c r="N174" s="104"/>
    </row>
    <row r="175" spans="2:14" s="35" customFormat="1" ht="18" customHeight="1" x14ac:dyDescent="0.25">
      <c r="B175" s="177">
        <v>14</v>
      </c>
      <c r="C175" s="17"/>
      <c r="D175" s="179">
        <f>IF(Input!F181="ft",ROUND(Input!D181/5280,2),Input!D181)</f>
        <v>0</v>
      </c>
      <c r="E175" s="129">
        <f>Input!G181</f>
        <v>0</v>
      </c>
      <c r="F175" s="564">
        <f t="shared" si="4"/>
        <v>0</v>
      </c>
      <c r="G175" s="129">
        <f>Input!J181</f>
        <v>0</v>
      </c>
      <c r="H175" s="184" t="str">
        <f>IF(ThirdDetourOption="No Detour","-",IF(AND(ISBLANK(Input!G181),ISBLANK(Input!J181)),"-",ROUND(MAX(F175*60,G175/60),1)))</f>
        <v>-</v>
      </c>
      <c r="I175" s="179">
        <f>IF(Input!Q181="ft",ROUND(Input!O181/5280,2),Input!O181)</f>
        <v>0</v>
      </c>
      <c r="J175" s="129">
        <f>Input!R181</f>
        <v>0</v>
      </c>
      <c r="K175" s="564">
        <f t="shared" si="5"/>
        <v>0</v>
      </c>
      <c r="L175" s="129">
        <f>Input!U181</f>
        <v>0</v>
      </c>
      <c r="M175" s="184" t="str">
        <f>IF(ThirdDetourOption=FirstDirection,IF(AND(ISBLANK(Input!R181),ISBLANK(Input!U181)),"-",ROUND(MAX(K175*60,L175/60),1)),H175)</f>
        <v>-</v>
      </c>
      <c r="N175" s="104"/>
    </row>
    <row r="176" spans="2:14" s="35" customFormat="1" ht="18" customHeight="1" x14ac:dyDescent="0.25">
      <c r="B176" s="177">
        <v>15</v>
      </c>
      <c r="C176" s="17"/>
      <c r="D176" s="179">
        <f>IF(Input!F182="ft",ROUND(Input!D182/5280,2),Input!D182)</f>
        <v>0</v>
      </c>
      <c r="E176" s="129">
        <f>Input!G182</f>
        <v>0</v>
      </c>
      <c r="F176" s="564">
        <f t="shared" si="4"/>
        <v>0</v>
      </c>
      <c r="G176" s="129">
        <f>Input!J182</f>
        <v>0</v>
      </c>
      <c r="H176" s="184" t="str">
        <f>IF(ThirdDetourOption="No Detour","-",IF(AND(ISBLANK(Input!G182),ISBLANK(Input!J182)),"-",ROUND(MAX(F176*60,G176/60),1)))</f>
        <v>-</v>
      </c>
      <c r="I176" s="179">
        <f>IF(Input!Q182="ft",ROUND(Input!O182/5280,2),Input!O182)</f>
        <v>0</v>
      </c>
      <c r="J176" s="129">
        <f>Input!R182</f>
        <v>0</v>
      </c>
      <c r="K176" s="564">
        <f t="shared" si="5"/>
        <v>0</v>
      </c>
      <c r="L176" s="129">
        <f>Input!U182</f>
        <v>0</v>
      </c>
      <c r="M176" s="184" t="str">
        <f>IF(ThirdDetourOption=FirstDirection,IF(AND(ISBLANK(Input!R182),ISBLANK(Input!U182)),"-",ROUND(MAX(K176*60,L176/60),1)),H176)</f>
        <v>-</v>
      </c>
      <c r="N176" s="104"/>
    </row>
    <row r="177" spans="2:15" s="35" customFormat="1" ht="18" customHeight="1" x14ac:dyDescent="0.25">
      <c r="B177" s="177">
        <v>16</v>
      </c>
      <c r="C177" s="17"/>
      <c r="D177" s="179">
        <f>IF(Input!F183="ft",ROUND(Input!D183/5280,2),Input!D183)</f>
        <v>0</v>
      </c>
      <c r="E177" s="129">
        <f>Input!G183</f>
        <v>0</v>
      </c>
      <c r="F177" s="564">
        <f t="shared" si="4"/>
        <v>0</v>
      </c>
      <c r="G177" s="129">
        <f>Input!J183</f>
        <v>0</v>
      </c>
      <c r="H177" s="184" t="str">
        <f>IF(ThirdDetourOption="No Detour","-",IF(AND(ISBLANK(Input!G183),ISBLANK(Input!J183)),"-",ROUND(MAX(F177*60,G177/60),1)))</f>
        <v>-</v>
      </c>
      <c r="I177" s="179">
        <f>IF(Input!Q183="ft",ROUND(Input!O183/5280,2),Input!O183)</f>
        <v>0</v>
      </c>
      <c r="J177" s="129">
        <f>Input!R183</f>
        <v>0</v>
      </c>
      <c r="K177" s="564">
        <f t="shared" si="5"/>
        <v>0</v>
      </c>
      <c r="L177" s="129">
        <f>Input!U183</f>
        <v>0</v>
      </c>
      <c r="M177" s="184" t="str">
        <f>IF(ThirdDetourOption=FirstDirection,IF(AND(ISBLANK(Input!R183),ISBLANK(Input!U183)),"-",ROUND(MAX(K177*60,L177/60),1)),H177)</f>
        <v>-</v>
      </c>
      <c r="N177" s="104"/>
    </row>
    <row r="178" spans="2:15" s="35" customFormat="1" ht="18" customHeight="1" x14ac:dyDescent="0.25">
      <c r="B178" s="177">
        <v>17</v>
      </c>
      <c r="C178" s="17"/>
      <c r="D178" s="179">
        <f>IF(Input!F184="ft",ROUND(Input!D184/5280,2),Input!D184)</f>
        <v>0</v>
      </c>
      <c r="E178" s="129">
        <f>Input!G184</f>
        <v>0</v>
      </c>
      <c r="F178" s="564">
        <f t="shared" si="4"/>
        <v>0</v>
      </c>
      <c r="G178" s="129">
        <f>Input!J184</f>
        <v>0</v>
      </c>
      <c r="H178" s="184" t="str">
        <f>IF(ThirdDetourOption="No Detour","-",IF(AND(ISBLANK(Input!G184),ISBLANK(Input!J184)),"-",ROUND(MAX(F178*60,G178/60),1)))</f>
        <v>-</v>
      </c>
      <c r="I178" s="179">
        <f>IF(Input!Q184="ft",ROUND(Input!O184/5280,2),Input!O184)</f>
        <v>0</v>
      </c>
      <c r="J178" s="129">
        <f>Input!R184</f>
        <v>0</v>
      </c>
      <c r="K178" s="564">
        <f t="shared" si="5"/>
        <v>0</v>
      </c>
      <c r="L178" s="129">
        <f>Input!U184</f>
        <v>0</v>
      </c>
      <c r="M178" s="184" t="str">
        <f>IF(ThirdDetourOption=FirstDirection,IF(AND(ISBLANK(Input!R184),ISBLANK(Input!U184)),"-",ROUND(MAX(K178*60,L178/60),1)),H178)</f>
        <v>-</v>
      </c>
      <c r="N178" s="104"/>
    </row>
    <row r="179" spans="2:15" s="35" customFormat="1" ht="18" customHeight="1" x14ac:dyDescent="0.25">
      <c r="B179" s="177">
        <v>18</v>
      </c>
      <c r="C179" s="17"/>
      <c r="D179" s="179">
        <f>IF(Input!F185="ft",ROUND(Input!D185/5280,2),Input!D185)</f>
        <v>0</v>
      </c>
      <c r="E179" s="129">
        <f>Input!G185</f>
        <v>0</v>
      </c>
      <c r="F179" s="564">
        <f t="shared" si="4"/>
        <v>0</v>
      </c>
      <c r="G179" s="129">
        <f>Input!J185</f>
        <v>0</v>
      </c>
      <c r="H179" s="184" t="str">
        <f>IF(ThirdDetourOption="No Detour","-",IF(AND(ISBLANK(Input!G185),ISBLANK(Input!J185)),"-",ROUND(MAX(F179*60,G179/60),1)))</f>
        <v>-</v>
      </c>
      <c r="I179" s="179">
        <f>IF(Input!Q185="ft",ROUND(Input!O185/5280,2),Input!O185)</f>
        <v>0</v>
      </c>
      <c r="J179" s="129">
        <f>Input!R185</f>
        <v>0</v>
      </c>
      <c r="K179" s="564">
        <f t="shared" si="5"/>
        <v>0</v>
      </c>
      <c r="L179" s="129">
        <f>Input!U185</f>
        <v>0</v>
      </c>
      <c r="M179" s="184" t="str">
        <f>IF(ThirdDetourOption=FirstDirection,IF(AND(ISBLANK(Input!R185),ISBLANK(Input!U185)),"-",ROUND(MAX(K179*60,L179/60),1)),H179)</f>
        <v>-</v>
      </c>
      <c r="N179" s="104"/>
    </row>
    <row r="180" spans="2:15" s="35" customFormat="1" ht="18" customHeight="1" x14ac:dyDescent="0.25">
      <c r="B180" s="177">
        <v>19</v>
      </c>
      <c r="C180" s="17"/>
      <c r="D180" s="179">
        <f>IF(Input!F186="ft",ROUND(Input!D186/5280,2),Input!D186)</f>
        <v>0</v>
      </c>
      <c r="E180" s="129">
        <f>Input!G186</f>
        <v>0</v>
      </c>
      <c r="F180" s="564">
        <f t="shared" si="4"/>
        <v>0</v>
      </c>
      <c r="G180" s="129">
        <f>Input!J186</f>
        <v>0</v>
      </c>
      <c r="H180" s="184" t="str">
        <f>IF(ThirdDetourOption="No Detour","-",IF(AND(ISBLANK(Input!G186),ISBLANK(Input!J186)),"-",ROUND(MAX(F180*60,G180/60),1)))</f>
        <v>-</v>
      </c>
      <c r="I180" s="179">
        <f>IF(Input!Q186="ft",ROUND(Input!O186/5280,2),Input!O186)</f>
        <v>0</v>
      </c>
      <c r="J180" s="129">
        <f>Input!R186</f>
        <v>0</v>
      </c>
      <c r="K180" s="564">
        <f t="shared" si="5"/>
        <v>0</v>
      </c>
      <c r="L180" s="129">
        <f>Input!U186</f>
        <v>0</v>
      </c>
      <c r="M180" s="184" t="str">
        <f>IF(ThirdDetourOption=FirstDirection,IF(AND(ISBLANK(Input!R186),ISBLANK(Input!U186)),"-",ROUND(MAX(K180*60,L180/60),1)),H180)</f>
        <v>-</v>
      </c>
      <c r="N180" s="104"/>
    </row>
    <row r="181" spans="2:15" s="35" customFormat="1" ht="18" customHeight="1" x14ac:dyDescent="0.25">
      <c r="B181" s="177">
        <v>20</v>
      </c>
      <c r="C181" s="17"/>
      <c r="D181" s="179">
        <f>IF(Input!F187="ft",ROUND(Input!D187/5280,2),Input!D187)</f>
        <v>0</v>
      </c>
      <c r="E181" s="129">
        <f>Input!G187</f>
        <v>0</v>
      </c>
      <c r="F181" s="564">
        <f t="shared" si="4"/>
        <v>0</v>
      </c>
      <c r="G181" s="129">
        <f>Input!J187</f>
        <v>0</v>
      </c>
      <c r="H181" s="184" t="str">
        <f>IF(ThirdDetourOption="No Detour","-",IF(AND(ISBLANK(Input!G187),ISBLANK(Input!J187)),"-",ROUND(MAX(F181*60,G181/60),1)))</f>
        <v>-</v>
      </c>
      <c r="I181" s="179">
        <f>IF(Input!Q187="ft",ROUND(Input!O187/5280,2),Input!O187)</f>
        <v>0</v>
      </c>
      <c r="J181" s="129">
        <f>Input!R187</f>
        <v>0</v>
      </c>
      <c r="K181" s="564">
        <f t="shared" si="5"/>
        <v>0</v>
      </c>
      <c r="L181" s="129">
        <f>Input!U187</f>
        <v>0</v>
      </c>
      <c r="M181" s="184" t="str">
        <f>IF(ThirdDetourOption=FirstDirection,IF(AND(ISBLANK(Input!R187),ISBLANK(Input!U187)),"-",ROUND(MAX(K181*60,L181/60),1)),H181)</f>
        <v>-</v>
      </c>
      <c r="N181" s="104"/>
    </row>
    <row r="182" spans="2:15" s="35" customFormat="1" ht="18" customHeight="1" x14ac:dyDescent="0.25">
      <c r="B182" s="124" t="s">
        <v>239</v>
      </c>
      <c r="C182" s="17"/>
      <c r="D182" s="179" t="str">
        <f>IF(ThirdDetourOption="No Detour","",SUM(D162:D181))</f>
        <v/>
      </c>
      <c r="E182" s="180"/>
      <c r="F182" s="180"/>
      <c r="G182" s="180"/>
      <c r="H182" s="184">
        <f>SUM(H162:H181)</f>
        <v>0</v>
      </c>
      <c r="I182" s="179" t="str">
        <f>IF(ThirdDetourOption=FirstDirection,SUM(I162:I181),D182)</f>
        <v/>
      </c>
      <c r="J182" s="180"/>
      <c r="K182" s="180"/>
      <c r="L182" s="180"/>
      <c r="M182" s="184">
        <f>IF(ThirdDetourOption=FirstDirection,SUM(M162:M181),H182)</f>
        <v>0</v>
      </c>
      <c r="N182" s="180"/>
    </row>
    <row r="183" spans="2:15" s="35" customFormat="1" ht="18" customHeight="1" x14ac:dyDescent="0.25">
      <c r="B183" s="151" t="s">
        <v>561</v>
      </c>
      <c r="C183" s="171"/>
      <c r="D183" s="171"/>
      <c r="E183" s="171"/>
      <c r="F183" s="171"/>
      <c r="G183" s="171"/>
      <c r="H183" s="171"/>
      <c r="I183" s="171"/>
      <c r="J183" s="171"/>
      <c r="K183" s="171"/>
      <c r="L183" s="171"/>
      <c r="M183" s="171"/>
      <c r="N183" s="172"/>
      <c r="O183" s="172"/>
    </row>
    <row r="184" spans="2:15" s="35" customFormat="1" ht="18" customHeight="1" x14ac:dyDescent="0.25">
      <c r="B184" s="125"/>
      <c r="C184" s="198"/>
      <c r="D184" s="1101" t="str">
        <f>FirstDirection</f>
        <v>Direction 1</v>
      </c>
      <c r="E184" s="677"/>
      <c r="F184" s="677"/>
      <c r="G184" s="677"/>
      <c r="H184" s="678"/>
      <c r="I184" s="189"/>
      <c r="J184" s="677" t="str">
        <f>SecondDirection</f>
        <v>Direction 2</v>
      </c>
      <c r="K184" s="677"/>
      <c r="L184" s="677"/>
      <c r="M184" s="677"/>
      <c r="N184" s="678"/>
      <c r="O184" s="191"/>
    </row>
    <row r="185" spans="2:15" s="35" customFormat="1" ht="18" customHeight="1" x14ac:dyDescent="0.25">
      <c r="B185" s="126" t="s">
        <v>2</v>
      </c>
      <c r="C185" s="199"/>
      <c r="D185" s="187" t="s">
        <v>239</v>
      </c>
      <c r="E185" s="131" t="s">
        <v>203</v>
      </c>
      <c r="F185" s="131" t="s">
        <v>176</v>
      </c>
      <c r="G185" s="131" t="s">
        <v>559</v>
      </c>
      <c r="H185" s="131" t="s">
        <v>558</v>
      </c>
      <c r="I185" s="190"/>
      <c r="J185" s="127" t="s">
        <v>239</v>
      </c>
      <c r="K185" s="131" t="s">
        <v>203</v>
      </c>
      <c r="L185" s="131" t="s">
        <v>176</v>
      </c>
      <c r="M185" s="131" t="s">
        <v>559</v>
      </c>
      <c r="N185" s="131" t="s">
        <v>558</v>
      </c>
      <c r="O185" s="192"/>
    </row>
    <row r="186" spans="2:15" s="35" customFormat="1" ht="18" customHeight="1" x14ac:dyDescent="0.25">
      <c r="B186" s="170" t="s">
        <v>562</v>
      </c>
      <c r="C186" s="197"/>
      <c r="D186" s="193" t="e">
        <f>D194/D198</f>
        <v>#N/A</v>
      </c>
      <c r="E186" s="130">
        <f>E190-E187-E188-E189</f>
        <v>1</v>
      </c>
      <c r="F186" s="130">
        <f>F190-F187-F188-F189</f>
        <v>1</v>
      </c>
      <c r="G186" s="130">
        <f>G190-G187-G188-G189</f>
        <v>1</v>
      </c>
      <c r="H186" s="130">
        <f>H190-H187-H188-H189</f>
        <v>1</v>
      </c>
      <c r="I186" s="176"/>
      <c r="J186" s="193" t="e">
        <f>J194/J198</f>
        <v>#N/A</v>
      </c>
      <c r="K186" s="130">
        <f>K190-K187-K188-K189</f>
        <v>1</v>
      </c>
      <c r="L186" s="130">
        <f>L190-L187-L188-L189</f>
        <v>1</v>
      </c>
      <c r="M186" s="130">
        <f>M190-M187-M188-M189</f>
        <v>1</v>
      </c>
      <c r="N186" s="130">
        <f>N190-N187-N188-N189</f>
        <v>1</v>
      </c>
      <c r="O186" s="180"/>
    </row>
    <row r="187" spans="2:15" s="35" customFormat="1" ht="18" customHeight="1" x14ac:dyDescent="0.25">
      <c r="B187" s="200" t="str">
        <f>FirstDetourName</f>
        <v>Primary Detour</v>
      </c>
      <c r="C187" s="197"/>
      <c r="D187" s="193" t="e">
        <f>D195/D198</f>
        <v>#N/A</v>
      </c>
      <c r="E187" s="130">
        <f>D1pc1</f>
        <v>0</v>
      </c>
      <c r="F187" s="130">
        <f>D1su1</f>
        <v>0</v>
      </c>
      <c r="G187" s="130">
        <f>D1ct1</f>
        <v>0</v>
      </c>
      <c r="H187" s="130">
        <f>D1rv1</f>
        <v>0</v>
      </c>
      <c r="I187" s="176"/>
      <c r="J187" s="193" t="e">
        <f>J195/J198</f>
        <v>#N/A</v>
      </c>
      <c r="K187" s="130">
        <f>D1pc2</f>
        <v>0</v>
      </c>
      <c r="L187" s="130">
        <f>D1su2</f>
        <v>0</v>
      </c>
      <c r="M187" s="130">
        <f>D1ct2</f>
        <v>0</v>
      </c>
      <c r="N187" s="130">
        <f>D1rv2</f>
        <v>0</v>
      </c>
      <c r="O187" s="180"/>
    </row>
    <row r="188" spans="2:15" s="35" customFormat="1" ht="18" customHeight="1" x14ac:dyDescent="0.25">
      <c r="B188" s="200" t="str">
        <f>SecondDetourName</f>
        <v>Secondary Detour</v>
      </c>
      <c r="C188" s="197"/>
      <c r="D188" s="193" t="e">
        <f>D196/D198</f>
        <v>#N/A</v>
      </c>
      <c r="E188" s="130">
        <f>D2pc1</f>
        <v>0</v>
      </c>
      <c r="F188" s="130">
        <f>D2su1</f>
        <v>0</v>
      </c>
      <c r="G188" s="130">
        <f>D2ct1</f>
        <v>0</v>
      </c>
      <c r="H188" s="130">
        <f>D2rv1</f>
        <v>0</v>
      </c>
      <c r="I188" s="176"/>
      <c r="J188" s="193" t="e">
        <f>J196/J198</f>
        <v>#N/A</v>
      </c>
      <c r="K188" s="130">
        <f>D2pc2</f>
        <v>0</v>
      </c>
      <c r="L188" s="130">
        <f>D2su2</f>
        <v>0</v>
      </c>
      <c r="M188" s="130">
        <f>D2ct2</f>
        <v>0</v>
      </c>
      <c r="N188" s="130">
        <f>D2rv2</f>
        <v>0</v>
      </c>
      <c r="O188" s="180"/>
    </row>
    <row r="189" spans="2:15" s="35" customFormat="1" ht="18" customHeight="1" x14ac:dyDescent="0.25">
      <c r="B189" s="200" t="str">
        <f>ThirdDetourName</f>
        <v>Tertiary Detour</v>
      </c>
      <c r="C189" s="197"/>
      <c r="D189" s="193" t="e">
        <f>D197/D198</f>
        <v>#N/A</v>
      </c>
      <c r="E189" s="130">
        <f>D3pc1</f>
        <v>0</v>
      </c>
      <c r="F189" s="130">
        <f>D3su1</f>
        <v>0</v>
      </c>
      <c r="G189" s="130">
        <f>D3ct1</f>
        <v>0</v>
      </c>
      <c r="H189" s="130">
        <f>D3rv1</f>
        <v>0</v>
      </c>
      <c r="I189" s="176"/>
      <c r="J189" s="193" t="e">
        <f>J197/J198</f>
        <v>#N/A</v>
      </c>
      <c r="K189" s="130">
        <f>D3pc2</f>
        <v>0</v>
      </c>
      <c r="L189" s="130">
        <f>D3su2</f>
        <v>0</v>
      </c>
      <c r="M189" s="130">
        <f>D3ct2</f>
        <v>0</v>
      </c>
      <c r="N189" s="130">
        <f>D3rv2</f>
        <v>0</v>
      </c>
      <c r="O189" s="180"/>
    </row>
    <row r="190" spans="2:15" s="35" customFormat="1" ht="18" customHeight="1" x14ac:dyDescent="0.25">
      <c r="B190" s="200" t="s">
        <v>239</v>
      </c>
      <c r="C190" s="197"/>
      <c r="D190" s="193">
        <v>1</v>
      </c>
      <c r="E190" s="130">
        <v>1</v>
      </c>
      <c r="F190" s="130">
        <v>1</v>
      </c>
      <c r="G190" s="130">
        <v>1</v>
      </c>
      <c r="H190" s="130">
        <v>1</v>
      </c>
      <c r="I190" s="176"/>
      <c r="J190" s="130">
        <v>1</v>
      </c>
      <c r="K190" s="130">
        <v>1</v>
      </c>
      <c r="L190" s="130">
        <v>1</v>
      </c>
      <c r="M190" s="130">
        <v>1</v>
      </c>
      <c r="N190" s="130">
        <v>1</v>
      </c>
      <c r="O190" s="180"/>
    </row>
    <row r="191" spans="2:15" s="35" customFormat="1" ht="18" customHeight="1" x14ac:dyDescent="0.25">
      <c r="B191" s="151" t="s">
        <v>560</v>
      </c>
      <c r="C191" s="171"/>
      <c r="D191" s="171"/>
      <c r="E191" s="171"/>
      <c r="F191" s="171"/>
      <c r="G191" s="171"/>
      <c r="H191" s="171"/>
      <c r="I191" s="171"/>
      <c r="J191" s="171"/>
      <c r="K191" s="171"/>
      <c r="L191" s="171"/>
      <c r="M191" s="171"/>
      <c r="N191" s="171"/>
      <c r="O191" s="172"/>
    </row>
    <row r="192" spans="2:15" s="35" customFormat="1" ht="18" customHeight="1" x14ac:dyDescent="0.25">
      <c r="B192" s="125"/>
      <c r="C192" s="198"/>
      <c r="D192" s="1101" t="str">
        <f>FirstDirection</f>
        <v>Direction 1</v>
      </c>
      <c r="E192" s="677"/>
      <c r="F192" s="677"/>
      <c r="G192" s="677"/>
      <c r="H192" s="677"/>
      <c r="I192" s="1111"/>
      <c r="J192" s="677" t="str">
        <f>SecondDirection</f>
        <v>Direction 2</v>
      </c>
      <c r="K192" s="677"/>
      <c r="L192" s="677"/>
      <c r="M192" s="677"/>
      <c r="N192" s="677"/>
      <c r="O192" s="678"/>
    </row>
    <row r="193" spans="2:17" s="35" customFormat="1" ht="18" customHeight="1" x14ac:dyDescent="0.25">
      <c r="B193" s="126" t="s">
        <v>2</v>
      </c>
      <c r="C193" s="198"/>
      <c r="D193" s="187" t="s">
        <v>239</v>
      </c>
      <c r="E193" s="131" t="s">
        <v>203</v>
      </c>
      <c r="F193" s="131" t="s">
        <v>176</v>
      </c>
      <c r="G193" s="131" t="s">
        <v>559</v>
      </c>
      <c r="H193" s="131" t="s">
        <v>558</v>
      </c>
      <c r="I193" s="188" t="s">
        <v>533</v>
      </c>
      <c r="J193" s="127" t="s">
        <v>239</v>
      </c>
      <c r="K193" s="131" t="s">
        <v>203</v>
      </c>
      <c r="L193" s="131" t="s">
        <v>176</v>
      </c>
      <c r="M193" s="131" t="s">
        <v>559</v>
      </c>
      <c r="N193" s="131" t="s">
        <v>558</v>
      </c>
      <c r="O193" s="131" t="s">
        <v>533</v>
      </c>
    </row>
    <row r="194" spans="2:17" s="35" customFormat="1" ht="18" customHeight="1" x14ac:dyDescent="0.25">
      <c r="B194" s="170" t="s">
        <v>562</v>
      </c>
      <c r="C194" s="197"/>
      <c r="D194" s="178" t="e">
        <f>ADTtot1-ADTtot1d1-ADTtot1d2-ADTtot1d3</f>
        <v>#N/A</v>
      </c>
      <c r="E194" s="129" t="e">
        <f>IF(E186&gt;0,ADTPC1-ADTPC1d1-ADTPC1d2-ADTPC1d3,0)</f>
        <v>#N/A</v>
      </c>
      <c r="F194" s="129" t="e">
        <f>IF(F186&gt;0,ADTSU1-ADTSU1d1-ADTSU1d2-ADTSU1d3,0)</f>
        <v>#N/A</v>
      </c>
      <c r="G194" s="129" t="e">
        <f>IF(G186&gt;0,ADTCT1-ADTCT1d1-ADTCT1d2-ADTCT1d3,0)</f>
        <v>#N/A</v>
      </c>
      <c r="H194" s="129" t="e">
        <f>IF(H186&gt;0,ADTRV1-ADTRV1d1-ADTRV1d2-ADTRV1d3,0)</f>
        <v>#N/A</v>
      </c>
      <c r="I194" s="202" t="e">
        <f>ROUND(ADTPC1wz+(ADTSU1wz*FHVsuct)+(ADTCT1wz*FHVsuct)+(ADTRV1wz*fHVrv),0)</f>
        <v>#N/A</v>
      </c>
      <c r="J194" s="178" t="e">
        <f>ADTtot2-ADTtot2d1-ADTtot2d2-ADTtot2d3</f>
        <v>#N/A</v>
      </c>
      <c r="K194" s="162" t="e">
        <f>IF(K186&gt;0,ADTPC2-ADTPC2d1-ADTPC2d2-ADTPC2d3,0)</f>
        <v>#N/A</v>
      </c>
      <c r="L194" s="162" t="e">
        <f>IF(L186&gt;0,ADTSU2-ADTSU2d1-ADTSU2d2-ADTSU2d3,0)</f>
        <v>#N/A</v>
      </c>
      <c r="M194" s="162" t="e">
        <f>IF(M186&gt;0,ADTCT2-ADTCT2d1-ADTCT2d2-ADTCT2d3,0)</f>
        <v>#N/A</v>
      </c>
      <c r="N194" s="162" t="e">
        <f>IF(N186&gt;0,ADTRV2-ADTRV2d1-ADTRV2d2-ADTRV2d3,0)</f>
        <v>#N/A</v>
      </c>
      <c r="O194" s="508" t="e">
        <f>ROUND(ADTPC2wz+(ADTSU2wz*FHVsuct)+(ADTCT2wz*FHVsuct)+(ADTRV2wz*fHVrv),0)</f>
        <v>#N/A</v>
      </c>
    </row>
    <row r="195" spans="2:17" s="35" customFormat="1" ht="18" customHeight="1" x14ac:dyDescent="0.25">
      <c r="B195" s="200" t="str">
        <f>FirstDetourName</f>
        <v>Primary Detour</v>
      </c>
      <c r="C195" s="197"/>
      <c r="D195" s="178" t="e">
        <f>ADTPC1d1+ADTSU1d1+ADTCT1d1+ADTRV1d1</f>
        <v>#N/A</v>
      </c>
      <c r="E195" s="129" t="e">
        <f>IF(E186&gt;0,ROUND(E187*ADTPC1,0),ADTPC1-ADTPC1d3-ADTPC1d2)</f>
        <v>#N/A</v>
      </c>
      <c r="F195" s="129" t="e">
        <f>IF(F186&gt;0,ROUNDDOWN(F187*ADTSU1,0),ADTSU1-ADTSU1d3-ADTSU1d2)</f>
        <v>#N/A</v>
      </c>
      <c r="G195" s="129" t="e">
        <f>IF(G186&gt;0,ROUND(G187*ADTCT1,0),ADTCT1-ADTCT1d3-ADTCT1d2)</f>
        <v>#N/A</v>
      </c>
      <c r="H195" s="129" t="e">
        <f>IF(H186&gt;0,ROUND(H187*ADTRV1,0),ADTRV1-ADTRV1d3-ADTRV1d2)</f>
        <v>#N/A</v>
      </c>
      <c r="I195" s="202" t="e">
        <f>ROUND(ADTPC1d1+(ADTSU1d1*FHVsuct)+(ADTCT1d1*FHVsuct)+(ADTRV1d1*fHVrv),0)</f>
        <v>#N/A</v>
      </c>
      <c r="J195" s="178" t="e">
        <f>ADTPC2d1+ADTSU2d1+ADTCT2d1+ADTRV2d1</f>
        <v>#N/A</v>
      </c>
      <c r="K195" s="162" t="e">
        <f>IF(K186&gt;0,ROUND(K187*ADTPC2,0),ADTPC2-ADTPC2d3-ADTPC2d2)</f>
        <v>#N/A</v>
      </c>
      <c r="L195" s="162" t="e">
        <f>IF(L186&gt;0,ROUNDDOWN(L187*ADTSU2,0),ADTSU2-ADTSU2d3-ADTSU2d2)</f>
        <v>#N/A</v>
      </c>
      <c r="M195" s="162" t="e">
        <f>IF(M186&gt;0,ROUND(M187*ADTCT2,0),ADTCT2-ADTCT2d3-ADTCT2d2)</f>
        <v>#N/A</v>
      </c>
      <c r="N195" s="162" t="e">
        <f>IF(N186&gt;0,ROUND(N187*ADTRV2,0),ADTRV2-ADTRV2d3-ADTRV2d2)</f>
        <v>#N/A</v>
      </c>
      <c r="O195" s="508" t="e">
        <f>ROUND(ADTPC2d1+(ADTSU2d1*FHVsuct)+(ADTCT2d1*FHVsuct)+(ADTRV2d1*fHVrv),0)</f>
        <v>#N/A</v>
      </c>
    </row>
    <row r="196" spans="2:17" s="35" customFormat="1" ht="18" customHeight="1" x14ac:dyDescent="0.25">
      <c r="B196" s="200" t="str">
        <f>SecondDetourName</f>
        <v>Secondary Detour</v>
      </c>
      <c r="C196" s="197"/>
      <c r="D196" s="178" t="e">
        <f>ADTPC1d2+ADTSU1d2+ADTCT1d2+ADTRV1d2</f>
        <v>#N/A</v>
      </c>
      <c r="E196" s="129" t="e">
        <f>ROUND(E188*ADTPC1,0)</f>
        <v>#N/A</v>
      </c>
      <c r="F196" s="129" t="e">
        <f>ROUNDDOWN(F188*ADTSU1,0)</f>
        <v>#N/A</v>
      </c>
      <c r="G196" s="129" t="e">
        <f>ROUND(G188*ADTCT1,0)</f>
        <v>#N/A</v>
      </c>
      <c r="H196" s="129" t="e">
        <f>ROUND(H188*ADTRV1,0)</f>
        <v>#N/A</v>
      </c>
      <c r="I196" s="202" t="e">
        <f>ROUND(ADTPC1d2+(ADTSU1d2*FHVsuct)+(ADTCT1d2*FHVsuct)+(ADTRV1d2*fHVrv),0)</f>
        <v>#N/A</v>
      </c>
      <c r="J196" s="178" t="e">
        <f>ADTPC2d2+ADTSU2d2+ADTCT2d2+ADTRV2d2</f>
        <v>#N/A</v>
      </c>
      <c r="K196" s="162" t="e">
        <f>ROUND(K188*ADTPC2,0)</f>
        <v>#N/A</v>
      </c>
      <c r="L196" s="162" t="e">
        <f>ROUNDDOWN(L188*ADTSU2,0)</f>
        <v>#N/A</v>
      </c>
      <c r="M196" s="162" t="e">
        <f>ROUND(M188*ADTCT2,0)</f>
        <v>#N/A</v>
      </c>
      <c r="N196" s="162" t="e">
        <f>ROUND(N188*ADTRV2,0)</f>
        <v>#N/A</v>
      </c>
      <c r="O196" s="508" t="e">
        <f>ROUND(ADTPC2d2+(ADTSU1d2*FHVsuct)+(ADTCT2d2*FHVsuct)+(ADTRV2d2*fHVrv),0)</f>
        <v>#N/A</v>
      </c>
    </row>
    <row r="197" spans="2:17" s="35" customFormat="1" ht="18" customHeight="1" x14ac:dyDescent="0.25">
      <c r="B197" s="200" t="str">
        <f>ThirdDetourName</f>
        <v>Tertiary Detour</v>
      </c>
      <c r="C197" s="197"/>
      <c r="D197" s="178" t="e">
        <f>ADTPC1d3+ADTSU1d3+ADTCT1d3+ADTRV1d3</f>
        <v>#N/A</v>
      </c>
      <c r="E197" s="129" t="e">
        <f>ROUND(E189*ADTPC1,0)</f>
        <v>#N/A</v>
      </c>
      <c r="F197" s="129" t="e">
        <f>ROUNDDOWN(F189*ADTSU1,0)</f>
        <v>#N/A</v>
      </c>
      <c r="G197" s="129" t="e">
        <f>ROUND(G189*ADTCT1,0)</f>
        <v>#N/A</v>
      </c>
      <c r="H197" s="129" t="e">
        <f>ROUND(H189*ADTRV1,0)</f>
        <v>#N/A</v>
      </c>
      <c r="I197" s="202" t="e">
        <f>ROUND(ADTPC1d3+(ADTSU1d3*FHVsuct)+(ADTCT1d3*FHVsuct)+(ADTRV1d3*fHVrv),0)</f>
        <v>#N/A</v>
      </c>
      <c r="J197" s="178" t="e">
        <f>ADTPC2d3+ADTSU2d3+ADTCT2d3+ADTRV2d3</f>
        <v>#N/A</v>
      </c>
      <c r="K197" s="162" t="e">
        <f>ROUND(K189*ADTPC2,0)</f>
        <v>#N/A</v>
      </c>
      <c r="L197" s="162" t="e">
        <f>ROUNDDOWN(L189*ADTSU2,0)</f>
        <v>#N/A</v>
      </c>
      <c r="M197" s="162" t="e">
        <f>ROUND(M189*ADTCT2,0)</f>
        <v>#N/A</v>
      </c>
      <c r="N197" s="162" t="e">
        <f>ROUND(N189*ADTRV2,0)</f>
        <v>#N/A</v>
      </c>
      <c r="O197" s="508" t="e">
        <f>ROUND(ADTPC2d3+(ADTSU2d3*FHVsuct)+(ADTCT2d3*FHVsuct)+(ADTRV2d3*fHVrv),0)</f>
        <v>#N/A</v>
      </c>
    </row>
    <row r="198" spans="2:17" s="35" customFormat="1" ht="18" customHeight="1" x14ac:dyDescent="0.25">
      <c r="B198" s="200" t="s">
        <v>239</v>
      </c>
      <c r="C198" s="197"/>
      <c r="D198" s="178" t="e">
        <f>ADTPC1+ADTSU1+ADTCT1+ADTRV1</f>
        <v>#N/A</v>
      </c>
      <c r="E198" s="85" t="e">
        <f>ADTex1-ADTSU1-ADTCT1-ADTRV1</f>
        <v>#N/A</v>
      </c>
      <c r="F198" s="85" t="e">
        <f>ROUND(pctADTSU1*ADTex1,0)</f>
        <v>#N/A</v>
      </c>
      <c r="G198" s="85" t="e">
        <f>ROUND(pctADTCT1*ADTex1,0)</f>
        <v>#N/A</v>
      </c>
      <c r="H198" s="85" t="e">
        <f>ROUND(pctADTRV1*ADTex1,0)</f>
        <v>#N/A</v>
      </c>
      <c r="I198" s="144" t="e">
        <f>ADTPCE1wz+ADTPCE1d1+ADTPCE1d2+ADTPCE1d3</f>
        <v>#N/A</v>
      </c>
      <c r="J198" s="178" t="e">
        <f>ADTPC2+ADTSU2+ADTCT2+ADTRV2</f>
        <v>#N/A</v>
      </c>
      <c r="K198" s="162" t="e">
        <f>ADTex2-ADTSU2-ADTCT2-ADTRV2</f>
        <v>#N/A</v>
      </c>
      <c r="L198" s="162" t="e">
        <f>ROUND(pctADTSU2*ADTex2,0)</f>
        <v>#N/A</v>
      </c>
      <c r="M198" s="162" t="e">
        <f>ROUND(pctADTCT2*ADTex2,0)</f>
        <v>#N/A</v>
      </c>
      <c r="N198" s="162" t="e">
        <f>ROUND(pctADTRV2*ADTex2,0)</f>
        <v>#N/A</v>
      </c>
      <c r="O198" s="509" t="e">
        <f>ADTPCE2wz+ADTPCE2d1+ADTPCE2d2+ADTPCE2d3</f>
        <v>#N/A</v>
      </c>
    </row>
    <row r="199" spans="2:17" s="35" customFormat="1" ht="18" customHeight="1" x14ac:dyDescent="0.25">
      <c r="B199" s="1077" t="s">
        <v>637</v>
      </c>
      <c r="C199" s="1077"/>
      <c r="D199" s="1077"/>
      <c r="E199" s="1077"/>
      <c r="F199" s="1077"/>
      <c r="G199" s="1077"/>
      <c r="H199" s="1077"/>
      <c r="I199" s="1077"/>
      <c r="J199" s="1077"/>
      <c r="K199" s="1077"/>
      <c r="L199" s="1077"/>
      <c r="M199" s="1077"/>
      <c r="N199" s="7"/>
      <c r="O199" s="7"/>
    </row>
    <row r="200" spans="2:17" s="35" customFormat="1" ht="18" customHeight="1" x14ac:dyDescent="0.25">
      <c r="B200" s="181" t="str">
        <f>FirstDirection</f>
        <v>Direction 1</v>
      </c>
      <c r="C200" s="239"/>
      <c r="D200" s="156"/>
      <c r="E200" s="161" t="s">
        <v>628</v>
      </c>
      <c r="F200" s="161" t="s">
        <v>23</v>
      </c>
      <c r="G200" s="161" t="s">
        <v>239</v>
      </c>
      <c r="H200" s="181" t="str">
        <f>SecondDirection</f>
        <v>Direction 2</v>
      </c>
      <c r="I200" s="239"/>
      <c r="J200" s="156"/>
      <c r="K200" s="161" t="s">
        <v>628</v>
      </c>
      <c r="L200" s="161" t="s">
        <v>23</v>
      </c>
      <c r="M200" s="161" t="s">
        <v>239</v>
      </c>
      <c r="N200" s="7"/>
      <c r="O200" s="7"/>
      <c r="P200" s="7"/>
      <c r="Q200" s="7"/>
    </row>
    <row r="201" spans="2:17" s="35" customFormat="1" ht="18" customHeight="1" x14ac:dyDescent="0.25">
      <c r="B201" s="170" t="s">
        <v>199</v>
      </c>
      <c r="C201" s="17"/>
      <c r="D201" s="33"/>
      <c r="E201" s="163" t="e">
        <f>IF(ADTtot1wz&gt;0,ROUND(ADTPC1wz/ADTtot1wz,4),0)</f>
        <v>#N/A</v>
      </c>
      <c r="F201" s="162">
        <f>Tables!$N64</f>
        <v>19</v>
      </c>
      <c r="G201" s="162" t="e">
        <f>E201*F201</f>
        <v>#N/A</v>
      </c>
      <c r="H201" s="170" t="s">
        <v>199</v>
      </c>
      <c r="I201" s="17"/>
      <c r="J201" s="33"/>
      <c r="K201" s="163" t="e">
        <f>IF(ADTtot2wz&gt;0,ROUND(ADTPC2wz/ADTtot2wz,4),0)</f>
        <v>#N/A</v>
      </c>
      <c r="L201" s="162">
        <f>Tables!$N64</f>
        <v>19</v>
      </c>
      <c r="M201" s="162" t="e">
        <f>K201*L201</f>
        <v>#N/A</v>
      </c>
    </row>
    <row r="202" spans="2:17" s="35" customFormat="1" ht="18" customHeight="1" x14ac:dyDescent="0.25">
      <c r="B202" s="170" t="s">
        <v>201</v>
      </c>
      <c r="C202" s="17"/>
      <c r="D202" s="33"/>
      <c r="E202" s="163" t="e">
        <f>IF(ADTtot1wz&gt;0,ROUND(ADTSU1wz/ADTtot1wz,4),0)</f>
        <v>#N/A</v>
      </c>
      <c r="F202" s="162">
        <f>Tables!$N65</f>
        <v>30</v>
      </c>
      <c r="G202" s="162" t="e">
        <f>E202*F202</f>
        <v>#N/A</v>
      </c>
      <c r="H202" s="170" t="s">
        <v>201</v>
      </c>
      <c r="I202" s="17"/>
      <c r="J202" s="33"/>
      <c r="K202" s="163" t="e">
        <f>IF(ADTtot2wz&gt;0,ROUND(ADTSU2wz/ADTtot2wz,4),0)</f>
        <v>#N/A</v>
      </c>
      <c r="L202" s="162">
        <f>Tables!$N65</f>
        <v>30</v>
      </c>
      <c r="M202" s="162" t="e">
        <f>K202*L202</f>
        <v>#N/A</v>
      </c>
    </row>
    <row r="203" spans="2:17" s="35" customFormat="1" ht="18" customHeight="1" x14ac:dyDescent="0.25">
      <c r="B203" s="200" t="s">
        <v>202</v>
      </c>
      <c r="C203" s="240"/>
      <c r="D203" s="33"/>
      <c r="E203" s="163" t="e">
        <f>IF(ADTtot1wz&gt;0,ROUND(ADTCT1wz/ADTtot1wz,4),0)</f>
        <v>#N/A</v>
      </c>
      <c r="F203" s="162">
        <f>Tables!$N66</f>
        <v>70</v>
      </c>
      <c r="G203" s="162" t="e">
        <f>E203*F203</f>
        <v>#N/A</v>
      </c>
      <c r="H203" s="200" t="s">
        <v>202</v>
      </c>
      <c r="I203" s="240"/>
      <c r="J203" s="33"/>
      <c r="K203" s="163" t="e">
        <f>IF(ADTtot2wz&gt;0,ROUND(ADTCT2wz/ADTtot2wz,4),0)</f>
        <v>#N/A</v>
      </c>
      <c r="L203" s="162">
        <f>Tables!$N66</f>
        <v>70</v>
      </c>
      <c r="M203" s="162" t="e">
        <f>K203*L203</f>
        <v>#N/A</v>
      </c>
    </row>
    <row r="204" spans="2:17" s="35" customFormat="1" ht="18" customHeight="1" x14ac:dyDescent="0.25">
      <c r="B204" s="200" t="s">
        <v>200</v>
      </c>
      <c r="C204" s="240"/>
      <c r="D204" s="33"/>
      <c r="E204" s="163" t="e">
        <f>IF(ADTtot1wz&gt;0,ROUND(ADTRV1wz/ADTtot1wz,4),0)</f>
        <v>#N/A</v>
      </c>
      <c r="F204" s="162">
        <f>Tables!$N67</f>
        <v>30</v>
      </c>
      <c r="G204" s="162" t="e">
        <f>E204*F204</f>
        <v>#N/A</v>
      </c>
      <c r="H204" s="200" t="s">
        <v>200</v>
      </c>
      <c r="I204" s="240"/>
      <c r="J204" s="33"/>
      <c r="K204" s="163" t="e">
        <f>IF(ADTtot2wz&gt;0,ROUND(ADTRV2wz/ADTtot2wz,4),0)</f>
        <v>#N/A</v>
      </c>
      <c r="L204" s="162">
        <f>Tables!$N67</f>
        <v>30</v>
      </c>
      <c r="M204" s="162" t="e">
        <f>K204*L204</f>
        <v>#N/A</v>
      </c>
    </row>
    <row r="205" spans="2:17" s="35" customFormat="1" ht="18" customHeight="1" x14ac:dyDescent="0.25">
      <c r="B205" s="200" t="s">
        <v>641</v>
      </c>
      <c r="C205" s="240"/>
      <c r="D205" s="33"/>
      <c r="E205" s="163">
        <v>1</v>
      </c>
      <c r="F205" s="162">
        <f>Tables!$N68</f>
        <v>10</v>
      </c>
      <c r="G205" s="162">
        <f>E205*F205</f>
        <v>10</v>
      </c>
      <c r="H205" s="200" t="s">
        <v>641</v>
      </c>
      <c r="I205" s="240"/>
      <c r="J205" s="33"/>
      <c r="K205" s="163">
        <v>1</v>
      </c>
      <c r="L205" s="162">
        <f>Tables!$N68</f>
        <v>10</v>
      </c>
      <c r="M205" s="162">
        <f>K205*L205</f>
        <v>10</v>
      </c>
    </row>
    <row r="206" spans="2:17" s="35" customFormat="1" ht="18" customHeight="1" x14ac:dyDescent="0.25">
      <c r="B206" s="181" t="s">
        <v>638</v>
      </c>
      <c r="C206" s="182"/>
      <c r="D206" s="221"/>
      <c r="E206" s="241"/>
      <c r="F206" s="242"/>
      <c r="G206" s="134" t="e">
        <f>ROUNDUP(SUM(G201:G205),1)</f>
        <v>#N/A</v>
      </c>
      <c r="H206" s="181" t="s">
        <v>638</v>
      </c>
      <c r="I206" s="182"/>
      <c r="J206" s="221"/>
      <c r="K206" s="241"/>
      <c r="L206" s="242"/>
      <c r="M206" s="134" t="e">
        <f>ROUNDUP(SUM(M201:M205),1)</f>
        <v>#N/A</v>
      </c>
    </row>
    <row r="207" spans="2:17" s="35" customFormat="1" ht="18" customHeight="1" x14ac:dyDescent="0.25">
      <c r="B207" s="1114" t="s">
        <v>643</v>
      </c>
      <c r="C207" s="1115"/>
      <c r="D207" s="1115"/>
      <c r="E207" s="1115"/>
      <c r="F207" s="1115"/>
      <c r="G207" s="1115"/>
      <c r="H207" s="1115"/>
      <c r="I207" s="1115"/>
      <c r="J207" s="1115"/>
      <c r="K207" s="1115"/>
      <c r="L207" s="1115"/>
      <c r="M207" s="1115"/>
    </row>
    <row r="208" spans="2:17" s="35" customFormat="1" ht="18" customHeight="1" x14ac:dyDescent="0.25">
      <c r="B208" s="181" t="str">
        <f>FirstDirection</f>
        <v>Direction 1</v>
      </c>
      <c r="C208" s="239"/>
      <c r="D208" s="156"/>
      <c r="E208" s="161" t="s">
        <v>628</v>
      </c>
      <c r="F208" s="161" t="s">
        <v>192</v>
      </c>
      <c r="G208" s="161" t="s">
        <v>192</v>
      </c>
      <c r="H208" s="181" t="str">
        <f>SecondDirection</f>
        <v>Direction 2</v>
      </c>
      <c r="I208" s="239"/>
      <c r="J208" s="156"/>
      <c r="K208" s="161" t="s">
        <v>628</v>
      </c>
      <c r="L208" s="161" t="s">
        <v>192</v>
      </c>
      <c r="M208" s="161" t="s">
        <v>192</v>
      </c>
    </row>
    <row r="209" spans="2:13" s="35" customFormat="1" ht="18" customHeight="1" x14ac:dyDescent="0.25">
      <c r="B209" s="170" t="s">
        <v>199</v>
      </c>
      <c r="C209" s="17"/>
      <c r="D209" s="33"/>
      <c r="E209" s="163" t="e">
        <f>ROUND(ADTPC1wz/ADTtot1wz,4)</f>
        <v>#N/A</v>
      </c>
      <c r="F209" s="162" t="e">
        <f>VLOOKUP(wzFFS1,TableAddedTime,2)-VLOOKUP(Qspeed1,TableAddedTime,2)</f>
        <v>#N/A</v>
      </c>
      <c r="G209" s="162" t="e">
        <f>E209*F209</f>
        <v>#N/A</v>
      </c>
      <c r="H209" s="170" t="s">
        <v>199</v>
      </c>
      <c r="I209" s="17"/>
      <c r="J209" s="33"/>
      <c r="K209" s="163" t="e">
        <f>ROUND(ADTPC2wz/ADTtot2wz,4)</f>
        <v>#N/A</v>
      </c>
      <c r="L209" s="162" t="e">
        <f>VLOOKUP(wzFFS2,TableAddedTime,2)-VLOOKUP(Qspeed2,TableAddedTime,2)</f>
        <v>#N/A</v>
      </c>
      <c r="M209" s="162" t="e">
        <f>K209*L209</f>
        <v>#N/A</v>
      </c>
    </row>
    <row r="210" spans="2:13" s="35" customFormat="1" ht="18" customHeight="1" x14ac:dyDescent="0.25">
      <c r="B210" s="170" t="s">
        <v>201</v>
      </c>
      <c r="C210" s="17"/>
      <c r="D210" s="33"/>
      <c r="E210" s="163" t="e">
        <f>ROUND(ADTSU1wz/ADTtot1wz,4)</f>
        <v>#N/A</v>
      </c>
      <c r="F210" s="162" t="e">
        <f>VLOOKUP(wzFFS1,TableAddedTime,3)-VLOOKUP(Qspeed1,TableAddedTime,3)</f>
        <v>#N/A</v>
      </c>
      <c r="G210" s="162" t="e">
        <f>E210*F210</f>
        <v>#N/A</v>
      </c>
      <c r="H210" s="170" t="s">
        <v>201</v>
      </c>
      <c r="I210" s="17"/>
      <c r="J210" s="33"/>
      <c r="K210" s="163" t="e">
        <f>ROUND(ADTSU2wz/ADTtot2wz,4)</f>
        <v>#N/A</v>
      </c>
      <c r="L210" s="162" t="e">
        <f>VLOOKUP(wzFFS2,TableAddedTime,3)-VLOOKUP(Qspeed2,TableAddedTime,3)</f>
        <v>#N/A</v>
      </c>
      <c r="M210" s="162" t="e">
        <f>K210*L210</f>
        <v>#N/A</v>
      </c>
    </row>
    <row r="211" spans="2:13" s="35" customFormat="1" ht="18" customHeight="1" x14ac:dyDescent="0.25">
      <c r="B211" s="200" t="s">
        <v>202</v>
      </c>
      <c r="C211" s="240"/>
      <c r="D211" s="33"/>
      <c r="E211" s="163" t="e">
        <f>ROUND(ADTCT1wz/ADTtot1wz,4)</f>
        <v>#N/A</v>
      </c>
      <c r="F211" s="162" t="e">
        <f>VLOOKUP(wzFFS1,TableAddedTime,4)-VLOOKUP(Qspeed1,TableAddedTime,4)</f>
        <v>#N/A</v>
      </c>
      <c r="G211" s="162" t="e">
        <f>E211*F211</f>
        <v>#N/A</v>
      </c>
      <c r="H211" s="200" t="s">
        <v>202</v>
      </c>
      <c r="I211" s="240"/>
      <c r="J211" s="33"/>
      <c r="K211" s="163" t="e">
        <f>ROUND(ADTCT2wz/ADTtot2wz,4)</f>
        <v>#N/A</v>
      </c>
      <c r="L211" s="162" t="e">
        <f>VLOOKUP(wzFFS2,TableAddedTime,4)-VLOOKUP(Qspeed2,TableAddedTime,4)</f>
        <v>#N/A</v>
      </c>
      <c r="M211" s="162" t="e">
        <f>K211*L211</f>
        <v>#N/A</v>
      </c>
    </row>
    <row r="212" spans="2:13" s="35" customFormat="1" ht="18" customHeight="1" x14ac:dyDescent="0.25">
      <c r="B212" s="200" t="s">
        <v>200</v>
      </c>
      <c r="C212" s="240"/>
      <c r="D212" s="33"/>
      <c r="E212" s="163" t="e">
        <f>ROUND(ADTRV1wz/ADTtot1wz,4)</f>
        <v>#N/A</v>
      </c>
      <c r="F212" s="162" t="e">
        <f>VLOOKUP(wzFFS1,TableAddedTime,3)-VLOOKUP(Qspeed1,TableAddedTime,3)</f>
        <v>#N/A</v>
      </c>
      <c r="G212" s="162" t="e">
        <f>E212*F212</f>
        <v>#N/A</v>
      </c>
      <c r="H212" s="200" t="s">
        <v>200</v>
      </c>
      <c r="I212" s="240"/>
      <c r="J212" s="33"/>
      <c r="K212" s="163" t="e">
        <f>ROUND(ADTRV2wz/ADTtot2wz,4)</f>
        <v>#N/A</v>
      </c>
      <c r="L212" s="162" t="e">
        <f>VLOOKUP(wzFFS2,TableAddedTime,3)-VLOOKUP(Qspeed2,TableAddedTime,3)</f>
        <v>#N/A</v>
      </c>
      <c r="M212" s="162" t="e">
        <f>K212*L212</f>
        <v>#N/A</v>
      </c>
    </row>
    <row r="213" spans="2:13" s="35" customFormat="1" ht="18" customHeight="1" x14ac:dyDescent="0.25">
      <c r="B213" s="181" t="s">
        <v>638</v>
      </c>
      <c r="C213" s="182"/>
      <c r="D213" s="221"/>
      <c r="E213" s="241"/>
      <c r="F213" s="241"/>
      <c r="G213" s="134" t="e">
        <f>ROUNDUP(SUM(G209:G212),1)</f>
        <v>#N/A</v>
      </c>
      <c r="H213" s="181" t="s">
        <v>638</v>
      </c>
      <c r="I213" s="182"/>
      <c r="J213" s="221"/>
      <c r="K213" s="241"/>
      <c r="L213" s="241"/>
      <c r="M213" s="134" t="e">
        <f>ROUNDUP(SUM(M209:M212),1)</f>
        <v>#N/A</v>
      </c>
    </row>
    <row r="214" spans="2:13" s="35" customFormat="1" ht="18" customHeight="1" x14ac:dyDescent="0.25">
      <c r="B214" s="260" t="s">
        <v>664</v>
      </c>
      <c r="C214" s="171"/>
      <c r="D214" s="171"/>
      <c r="E214" s="171"/>
      <c r="F214" s="171"/>
      <c r="G214" s="171"/>
      <c r="H214" s="171"/>
      <c r="I214" s="171"/>
      <c r="J214" s="171"/>
      <c r="K214" s="171"/>
      <c r="L214" s="171"/>
      <c r="M214" s="171"/>
    </row>
    <row r="215" spans="2:13" s="35" customFormat="1" ht="18" customHeight="1" x14ac:dyDescent="0.25">
      <c r="B215" s="181" t="s">
        <v>677</v>
      </c>
      <c r="C215" s="239"/>
      <c r="D215" s="255"/>
      <c r="E215" s="255"/>
      <c r="F215" s="255"/>
      <c r="G215" s="255"/>
      <c r="H215" s="255"/>
      <c r="I215" s="255"/>
      <c r="J215" s="255"/>
      <c r="K215" s="255"/>
      <c r="L215" s="255"/>
      <c r="M215" s="254"/>
    </row>
    <row r="216" spans="2:13" s="35" customFormat="1" ht="18" customHeight="1" x14ac:dyDescent="0.35">
      <c r="B216" s="276" t="s">
        <v>667</v>
      </c>
      <c r="C216" s="67"/>
      <c r="D216" s="67"/>
      <c r="E216" s="67"/>
      <c r="F216" s="67"/>
      <c r="G216" s="281"/>
      <c r="H216" s="847" t="s">
        <v>672</v>
      </c>
      <c r="I216" s="847"/>
      <c r="J216" s="1082" t="s">
        <v>669</v>
      </c>
      <c r="K216" s="1083"/>
      <c r="L216" s="258" t="e">
        <f>IF(HCMType="Freeway","Intercity","Local")</f>
        <v>#N/A</v>
      </c>
      <c r="M216" s="257" t="e">
        <f>IF(L216="Local",MAHIadjLOCAL,MAHIadjINTERCITY)</f>
        <v>#N/A</v>
      </c>
    </row>
    <row r="217" spans="2:13" s="35" customFormat="1" ht="18" customHeight="1" x14ac:dyDescent="0.35">
      <c r="B217" s="276" t="s">
        <v>665</v>
      </c>
      <c r="C217" s="67"/>
      <c r="D217" s="67"/>
      <c r="E217" s="67"/>
      <c r="F217" s="67"/>
      <c r="G217" s="282" t="s">
        <v>699</v>
      </c>
      <c r="H217" s="847" t="s">
        <v>671</v>
      </c>
      <c r="I217" s="847"/>
      <c r="J217" s="1102" t="s">
        <v>670</v>
      </c>
      <c r="K217" s="1098"/>
      <c r="L217" s="241"/>
      <c r="M217" s="277">
        <f>ROUND(MAHI/2080,2)</f>
        <v>28.38</v>
      </c>
    </row>
    <row r="218" spans="2:13" s="35" customFormat="1" ht="18" customHeight="1" x14ac:dyDescent="0.35">
      <c r="B218" s="276" t="s">
        <v>666</v>
      </c>
      <c r="C218" s="67"/>
      <c r="D218" s="67"/>
      <c r="E218" s="67"/>
      <c r="F218" s="67"/>
      <c r="G218" s="282" t="s">
        <v>694</v>
      </c>
      <c r="H218" s="847" t="s">
        <v>673</v>
      </c>
      <c r="I218" s="847"/>
      <c r="J218" s="1082" t="s">
        <v>674</v>
      </c>
      <c r="K218" s="1083"/>
      <c r="L218" s="241"/>
      <c r="M218" s="258">
        <f>AVOpcpDefault</f>
        <v>1.67</v>
      </c>
    </row>
    <row r="219" spans="2:13" s="35" customFormat="1" ht="18" customHeight="1" x14ac:dyDescent="0.35">
      <c r="B219" s="276" t="s">
        <v>668</v>
      </c>
      <c r="C219" s="67"/>
      <c r="D219" s="67"/>
      <c r="E219" s="67"/>
      <c r="F219" s="67"/>
      <c r="G219" s="261" t="s">
        <v>695</v>
      </c>
      <c r="H219" s="847" t="s">
        <v>737</v>
      </c>
      <c r="I219" s="847"/>
      <c r="J219" s="1102" t="s">
        <v>675</v>
      </c>
      <c r="K219" s="1098"/>
      <c r="L219" s="241"/>
      <c r="M219" s="277" t="e">
        <f>ROUND(M216*M217*M218,2)</f>
        <v>#N/A</v>
      </c>
    </row>
    <row r="220" spans="2:13" s="35" customFormat="1" ht="18" customHeight="1" x14ac:dyDescent="0.25">
      <c r="B220" s="181" t="s">
        <v>676</v>
      </c>
      <c r="C220" s="239"/>
      <c r="D220" s="255"/>
      <c r="E220" s="255"/>
      <c r="F220" s="255"/>
      <c r="G220" s="283"/>
      <c r="H220" s="255"/>
      <c r="I220" s="255"/>
      <c r="J220" s="255"/>
      <c r="K220" s="255"/>
      <c r="L220" s="255"/>
      <c r="M220" s="254"/>
    </row>
    <row r="221" spans="2:13" s="35" customFormat="1" ht="18" customHeight="1" x14ac:dyDescent="0.35">
      <c r="B221" s="276" t="s">
        <v>678</v>
      </c>
      <c r="C221" s="67"/>
      <c r="D221" s="67"/>
      <c r="E221" s="67"/>
      <c r="F221" s="67"/>
      <c r="G221" s="281"/>
      <c r="H221" s="847" t="s">
        <v>679</v>
      </c>
      <c r="I221" s="847"/>
      <c r="J221" s="1082" t="s">
        <v>669</v>
      </c>
      <c r="K221" s="1083"/>
      <c r="L221" s="241"/>
      <c r="M221" s="257">
        <f>MAHIadjBUSINESS</f>
        <v>1</v>
      </c>
    </row>
    <row r="222" spans="2:13" s="35" customFormat="1" ht="18" customHeight="1" x14ac:dyDescent="0.35">
      <c r="B222" s="276" t="s">
        <v>665</v>
      </c>
      <c r="C222" s="67"/>
      <c r="D222" s="67"/>
      <c r="E222" s="67"/>
      <c r="F222" s="67"/>
      <c r="G222" s="282" t="s">
        <v>699</v>
      </c>
      <c r="H222" s="847" t="s">
        <v>680</v>
      </c>
      <c r="I222" s="847"/>
      <c r="J222" s="1082" t="s">
        <v>691</v>
      </c>
      <c r="K222" s="1083"/>
      <c r="L222" s="241"/>
      <c r="M222" s="277">
        <f>CPHpcb</f>
        <v>37.049999999999997</v>
      </c>
    </row>
    <row r="223" spans="2:13" s="35" customFormat="1" ht="18" customHeight="1" x14ac:dyDescent="0.35">
      <c r="B223" s="276" t="s">
        <v>666</v>
      </c>
      <c r="C223" s="67"/>
      <c r="D223" s="67"/>
      <c r="E223" s="67"/>
      <c r="F223" s="67"/>
      <c r="G223" s="282" t="s">
        <v>694</v>
      </c>
      <c r="H223" s="847" t="s">
        <v>681</v>
      </c>
      <c r="I223" s="847"/>
      <c r="J223" s="1082" t="s">
        <v>674</v>
      </c>
      <c r="K223" s="1083"/>
      <c r="L223" s="241"/>
      <c r="M223" s="332">
        <f>AVOpcbDefault</f>
        <v>1.24</v>
      </c>
    </row>
    <row r="224" spans="2:13" s="35" customFormat="1" ht="18" customHeight="1" x14ac:dyDescent="0.35">
      <c r="B224" s="276" t="s">
        <v>907</v>
      </c>
      <c r="C224" s="67"/>
      <c r="D224" s="67"/>
      <c r="E224" s="67"/>
      <c r="F224" s="67"/>
      <c r="G224" s="261" t="s">
        <v>695</v>
      </c>
      <c r="H224" s="847" t="s">
        <v>738</v>
      </c>
      <c r="I224" s="847"/>
      <c r="J224" s="1102" t="s">
        <v>682</v>
      </c>
      <c r="K224" s="1098"/>
      <c r="L224" s="241"/>
      <c r="M224" s="277">
        <f>ROUND(M221*M222*M223,2)</f>
        <v>45.94</v>
      </c>
    </row>
    <row r="225" spans="2:13" s="35" customFormat="1" ht="18" customHeight="1" x14ac:dyDescent="0.25">
      <c r="B225" s="181" t="s">
        <v>683</v>
      </c>
      <c r="C225" s="239"/>
      <c r="D225" s="255"/>
      <c r="E225" s="255"/>
      <c r="F225" s="255"/>
      <c r="G225" s="283"/>
      <c r="H225" s="255"/>
      <c r="I225" s="255"/>
      <c r="J225" s="255"/>
      <c r="K225" s="255"/>
      <c r="L225" s="255"/>
      <c r="M225" s="254"/>
    </row>
    <row r="226" spans="2:13" s="35" customFormat="1" ht="18" customHeight="1" x14ac:dyDescent="0.35">
      <c r="B226" s="276" t="s">
        <v>696</v>
      </c>
      <c r="C226" s="67"/>
      <c r="D226" s="67"/>
      <c r="E226" s="67"/>
      <c r="F226" s="67"/>
      <c r="G226" s="261" t="s">
        <v>356</v>
      </c>
      <c r="H226" s="847" t="s">
        <v>685</v>
      </c>
      <c r="I226" s="847"/>
      <c r="J226" s="1082" t="s">
        <v>687</v>
      </c>
      <c r="K226" s="1083"/>
      <c r="L226" s="241"/>
      <c r="M226" s="279">
        <f>PCTRPersonal</f>
        <v>0.93700000000000006</v>
      </c>
    </row>
    <row r="227" spans="2:13" s="35" customFormat="1" ht="18" customHeight="1" x14ac:dyDescent="0.35">
      <c r="B227" s="276" t="s">
        <v>698</v>
      </c>
      <c r="C227" s="67"/>
      <c r="D227" s="67"/>
      <c r="E227" s="67"/>
      <c r="F227" s="67"/>
      <c r="G227" s="261" t="s">
        <v>356</v>
      </c>
      <c r="H227" s="847" t="s">
        <v>686</v>
      </c>
      <c r="I227" s="847"/>
      <c r="J227" s="1082" t="s">
        <v>687</v>
      </c>
      <c r="K227" s="1083"/>
      <c r="L227" s="241"/>
      <c r="M227" s="279">
        <f>PCTRBusiness</f>
        <v>6.3E-2</v>
      </c>
    </row>
    <row r="228" spans="2:13" s="35" customFormat="1" ht="30" customHeight="1" x14ac:dyDescent="0.25">
      <c r="B228" s="276" t="s">
        <v>697</v>
      </c>
      <c r="C228" s="67"/>
      <c r="D228" s="67"/>
      <c r="E228" s="67"/>
      <c r="F228" s="67"/>
      <c r="G228" s="261" t="s">
        <v>695</v>
      </c>
      <c r="H228" s="999" t="s">
        <v>739</v>
      </c>
      <c r="I228" s="999"/>
      <c r="J228" s="1103" t="s">
        <v>742</v>
      </c>
      <c r="K228" s="1096"/>
      <c r="L228" s="241"/>
      <c r="M228" s="278" t="e">
        <f>ROUND((PCTRPersonal*TravelCostPCp)+(PCTRBusiness*TravelCostPCb),2)</f>
        <v>#N/A</v>
      </c>
    </row>
    <row r="229" spans="2:13" s="35" customFormat="1" ht="18" customHeight="1" x14ac:dyDescent="0.25">
      <c r="B229" s="280" t="s">
        <v>688</v>
      </c>
      <c r="C229" s="239"/>
      <c r="D229" s="255"/>
      <c r="E229" s="255"/>
      <c r="F229" s="255"/>
      <c r="G229" s="283"/>
      <c r="H229" s="255"/>
      <c r="I229" s="255"/>
      <c r="J229" s="255"/>
      <c r="K229" s="255"/>
      <c r="L229" s="255"/>
      <c r="M229" s="254"/>
    </row>
    <row r="230" spans="2:13" s="35" customFormat="1" ht="18" customHeight="1" x14ac:dyDescent="0.35">
      <c r="B230" s="276" t="s">
        <v>665</v>
      </c>
      <c r="C230" s="67"/>
      <c r="D230" s="67"/>
      <c r="E230" s="67"/>
      <c r="F230" s="67"/>
      <c r="G230" s="282" t="s">
        <v>699</v>
      </c>
      <c r="H230" s="847" t="s">
        <v>690</v>
      </c>
      <c r="I230" s="847"/>
      <c r="J230" s="1082" t="s">
        <v>691</v>
      </c>
      <c r="K230" s="1083"/>
      <c r="L230" s="241"/>
      <c r="M230" s="277">
        <f>CPHsu</f>
        <v>28.53</v>
      </c>
    </row>
    <row r="231" spans="2:13" s="35" customFormat="1" ht="18" customHeight="1" x14ac:dyDescent="0.35">
      <c r="B231" s="276" t="s">
        <v>666</v>
      </c>
      <c r="C231" s="67"/>
      <c r="D231" s="67"/>
      <c r="E231" s="67"/>
      <c r="F231" s="67"/>
      <c r="G231" s="282" t="s">
        <v>694</v>
      </c>
      <c r="H231" s="847" t="s">
        <v>692</v>
      </c>
      <c r="I231" s="847"/>
      <c r="J231" s="1082" t="s">
        <v>674</v>
      </c>
      <c r="K231" s="1083"/>
      <c r="L231" s="241"/>
      <c r="M231" s="332">
        <f>AVOsuDefault</f>
        <v>1.0249999999999999</v>
      </c>
    </row>
    <row r="232" spans="2:13" s="35" customFormat="1" ht="18" customHeight="1" x14ac:dyDescent="0.35">
      <c r="B232" s="276" t="s">
        <v>689</v>
      </c>
      <c r="C232" s="67"/>
      <c r="D232" s="67"/>
      <c r="E232" s="67"/>
      <c r="F232" s="67"/>
      <c r="G232" s="261" t="s">
        <v>695</v>
      </c>
      <c r="H232" s="847" t="s">
        <v>740</v>
      </c>
      <c r="I232" s="847"/>
      <c r="J232" s="1097" t="s">
        <v>693</v>
      </c>
      <c r="K232" s="1098"/>
      <c r="L232" s="241"/>
      <c r="M232" s="277">
        <f>ROUND(CPHsu*AVOsuDefault,2)</f>
        <v>29.24</v>
      </c>
    </row>
    <row r="233" spans="2:13" s="35" customFormat="1" ht="18" customHeight="1" x14ac:dyDescent="0.25">
      <c r="B233" s="280" t="s">
        <v>700</v>
      </c>
      <c r="C233" s="239"/>
      <c r="D233" s="255"/>
      <c r="E233" s="255"/>
      <c r="F233" s="255"/>
      <c r="G233" s="283"/>
      <c r="H233" s="255"/>
      <c r="I233" s="255"/>
      <c r="J233" s="255"/>
      <c r="K233" s="255"/>
      <c r="L233" s="255"/>
      <c r="M233" s="254"/>
    </row>
    <row r="234" spans="2:13" s="35" customFormat="1" ht="18" customHeight="1" x14ac:dyDescent="0.35">
      <c r="B234" s="276" t="s">
        <v>665</v>
      </c>
      <c r="C234" s="67"/>
      <c r="D234" s="67"/>
      <c r="E234" s="67"/>
      <c r="F234" s="67"/>
      <c r="G234" s="282" t="s">
        <v>699</v>
      </c>
      <c r="H234" s="847" t="s">
        <v>702</v>
      </c>
      <c r="I234" s="847"/>
      <c r="J234" s="1082" t="s">
        <v>691</v>
      </c>
      <c r="K234" s="1083"/>
      <c r="L234" s="241"/>
      <c r="M234" s="277">
        <f>CPHct</f>
        <v>36.47</v>
      </c>
    </row>
    <row r="235" spans="2:13" s="35" customFormat="1" ht="18" customHeight="1" x14ac:dyDescent="0.35">
      <c r="B235" s="276" t="s">
        <v>666</v>
      </c>
      <c r="C235" s="67"/>
      <c r="D235" s="67"/>
      <c r="E235" s="67"/>
      <c r="F235" s="67"/>
      <c r="G235" s="282" t="s">
        <v>694</v>
      </c>
      <c r="H235" s="847" t="s">
        <v>703</v>
      </c>
      <c r="I235" s="847"/>
      <c r="J235" s="1082" t="s">
        <v>674</v>
      </c>
      <c r="K235" s="1083"/>
      <c r="L235" s="241"/>
      <c r="M235" s="332">
        <f>AVOctDefault</f>
        <v>1.1200000000000001</v>
      </c>
    </row>
    <row r="236" spans="2:13" s="35" customFormat="1" ht="18" customHeight="1" x14ac:dyDescent="0.35">
      <c r="B236" s="276" t="s">
        <v>701</v>
      </c>
      <c r="C236" s="67"/>
      <c r="D236" s="67"/>
      <c r="E236" s="67"/>
      <c r="F236" s="67"/>
      <c r="G236" s="261" t="s">
        <v>695</v>
      </c>
      <c r="H236" s="847" t="s">
        <v>741</v>
      </c>
      <c r="I236" s="847"/>
      <c r="J236" s="1097" t="s">
        <v>706</v>
      </c>
      <c r="K236" s="1098"/>
      <c r="L236" s="241"/>
      <c r="M236" s="277">
        <f>ROUND(CPHct*AVOctDefault,2)</f>
        <v>40.85</v>
      </c>
    </row>
    <row r="237" spans="2:13" s="35" customFormat="1" ht="18" customHeight="1" x14ac:dyDescent="0.25">
      <c r="B237" s="280" t="s">
        <v>707</v>
      </c>
      <c r="C237" s="239"/>
      <c r="D237" s="255"/>
      <c r="E237" s="255"/>
      <c r="F237" s="255"/>
      <c r="G237" s="283"/>
      <c r="H237" s="255"/>
      <c r="I237" s="255"/>
      <c r="J237" s="255"/>
      <c r="K237" s="255"/>
      <c r="L237" s="255"/>
      <c r="M237" s="254"/>
    </row>
    <row r="238" spans="2:13" s="35" customFormat="1" ht="18" customHeight="1" x14ac:dyDescent="0.25">
      <c r="B238" s="276" t="s">
        <v>710</v>
      </c>
      <c r="C238" s="67"/>
      <c r="D238" s="67"/>
      <c r="E238" s="67"/>
      <c r="F238" s="67"/>
      <c r="G238" s="282" t="s">
        <v>711</v>
      </c>
      <c r="H238" s="847" t="s">
        <v>717</v>
      </c>
      <c r="I238" s="847"/>
      <c r="J238" s="1082" t="s">
        <v>718</v>
      </c>
      <c r="K238" s="1083"/>
      <c r="L238" s="241"/>
      <c r="M238" s="277">
        <f>Commodities</f>
        <v>1.6</v>
      </c>
    </row>
    <row r="239" spans="2:13" s="35" customFormat="1" ht="18" customHeight="1" x14ac:dyDescent="0.35">
      <c r="B239" s="276" t="s">
        <v>712</v>
      </c>
      <c r="C239" s="67"/>
      <c r="D239" s="67"/>
      <c r="E239" s="67"/>
      <c r="F239" s="67"/>
      <c r="G239" s="282" t="s">
        <v>713</v>
      </c>
      <c r="H239" s="847" t="s">
        <v>716</v>
      </c>
      <c r="I239" s="847"/>
      <c r="J239" s="1082" t="s">
        <v>719</v>
      </c>
      <c r="K239" s="1083"/>
      <c r="L239" s="241"/>
      <c r="M239" s="259">
        <f>PayloadSU</f>
        <v>24000</v>
      </c>
    </row>
    <row r="240" spans="2:13" s="284" customFormat="1" ht="30" customHeight="1" x14ac:dyDescent="0.25">
      <c r="B240" s="276" t="s">
        <v>665</v>
      </c>
      <c r="C240" s="67"/>
      <c r="D240" s="67"/>
      <c r="E240" s="67"/>
      <c r="F240" s="67"/>
      <c r="G240" s="282" t="s">
        <v>277</v>
      </c>
      <c r="H240" s="999" t="s">
        <v>715</v>
      </c>
      <c r="I240" s="999"/>
      <c r="J240" s="1095" t="s">
        <v>720</v>
      </c>
      <c r="K240" s="1096"/>
      <c r="L240" s="285"/>
      <c r="M240" s="278">
        <f>ROUND(Commodities*PayloadSU*HourlyDiscount,2)</f>
        <v>0.28000000000000003</v>
      </c>
    </row>
    <row r="241" spans="2:13" s="35" customFormat="1" ht="18" customHeight="1" x14ac:dyDescent="0.35">
      <c r="B241" s="276" t="s">
        <v>708</v>
      </c>
      <c r="C241" s="67"/>
      <c r="D241" s="67"/>
      <c r="E241" s="67"/>
      <c r="F241" s="67"/>
      <c r="G241" s="282" t="s">
        <v>356</v>
      </c>
      <c r="H241" s="847" t="s">
        <v>714</v>
      </c>
      <c r="I241" s="847"/>
      <c r="J241" s="1082" t="s">
        <v>674</v>
      </c>
      <c r="K241" s="1083"/>
      <c r="L241" s="241"/>
      <c r="M241" s="258">
        <f>LoadedSU</f>
        <v>0.71</v>
      </c>
    </row>
    <row r="242" spans="2:13" s="35" customFormat="1" ht="18" customHeight="1" x14ac:dyDescent="0.35">
      <c r="B242" s="276" t="s">
        <v>709</v>
      </c>
      <c r="C242" s="67"/>
      <c r="D242" s="67"/>
      <c r="E242" s="67"/>
      <c r="F242" s="67"/>
      <c r="G242" s="261" t="s">
        <v>695</v>
      </c>
      <c r="H242" s="847" t="s">
        <v>731</v>
      </c>
      <c r="I242" s="847"/>
      <c r="J242" s="1097" t="s">
        <v>721</v>
      </c>
      <c r="K242" s="1098"/>
      <c r="L242" s="241"/>
      <c r="M242" s="277">
        <f>ROUND(M240*M241,2)</f>
        <v>0.2</v>
      </c>
    </row>
    <row r="243" spans="2:13" s="35" customFormat="1" ht="18" customHeight="1" x14ac:dyDescent="0.25">
      <c r="B243" s="280" t="s">
        <v>722</v>
      </c>
      <c r="C243" s="239"/>
      <c r="D243" s="255"/>
      <c r="E243" s="255"/>
      <c r="F243" s="255"/>
      <c r="G243" s="283"/>
      <c r="H243" s="255"/>
      <c r="I243" s="255"/>
      <c r="J243" s="255"/>
      <c r="K243" s="255"/>
      <c r="L243" s="255"/>
      <c r="M243" s="254"/>
    </row>
    <row r="244" spans="2:13" s="35" customFormat="1" ht="18" customHeight="1" x14ac:dyDescent="0.25">
      <c r="B244" s="276" t="s">
        <v>710</v>
      </c>
      <c r="C244" s="67"/>
      <c r="D244" s="67"/>
      <c r="E244" s="67"/>
      <c r="F244" s="67"/>
      <c r="G244" s="282" t="s">
        <v>711</v>
      </c>
      <c r="H244" s="847" t="s">
        <v>717</v>
      </c>
      <c r="I244" s="847"/>
      <c r="J244" s="1082" t="s">
        <v>718</v>
      </c>
      <c r="K244" s="1083"/>
      <c r="L244" s="241"/>
      <c r="M244" s="277">
        <f>Commodities</f>
        <v>1.6</v>
      </c>
    </row>
    <row r="245" spans="2:13" s="35" customFormat="1" ht="18" customHeight="1" x14ac:dyDescent="0.35">
      <c r="B245" s="276" t="s">
        <v>712</v>
      </c>
      <c r="C245" s="67"/>
      <c r="D245" s="67"/>
      <c r="E245" s="67"/>
      <c r="F245" s="67"/>
      <c r="G245" s="282" t="s">
        <v>713</v>
      </c>
      <c r="H245" s="847" t="s">
        <v>724</v>
      </c>
      <c r="I245" s="847"/>
      <c r="J245" s="1082" t="s">
        <v>719</v>
      </c>
      <c r="K245" s="1083"/>
      <c r="L245" s="241"/>
      <c r="M245" s="259">
        <f>PayloadCT</f>
        <v>41000</v>
      </c>
    </row>
    <row r="246" spans="2:13" s="35" customFormat="1" ht="30" customHeight="1" x14ac:dyDescent="0.25">
      <c r="B246" s="276" t="s">
        <v>665</v>
      </c>
      <c r="C246" s="67"/>
      <c r="D246" s="67"/>
      <c r="E246" s="67"/>
      <c r="F246" s="67"/>
      <c r="G246" s="282" t="s">
        <v>277</v>
      </c>
      <c r="H246" s="999" t="s">
        <v>725</v>
      </c>
      <c r="I246" s="999"/>
      <c r="J246" s="1095" t="s">
        <v>727</v>
      </c>
      <c r="K246" s="1096"/>
      <c r="L246" s="285"/>
      <c r="M246" s="278">
        <f>ROUND(Commodities*PayloadCT*HourlyDiscount,2)</f>
        <v>0.49</v>
      </c>
    </row>
    <row r="247" spans="2:13" s="35" customFormat="1" ht="18" customHeight="1" x14ac:dyDescent="0.35">
      <c r="B247" s="276" t="s">
        <v>708</v>
      </c>
      <c r="C247" s="67"/>
      <c r="D247" s="67"/>
      <c r="E247" s="67"/>
      <c r="F247" s="67"/>
      <c r="G247" s="282" t="s">
        <v>356</v>
      </c>
      <c r="H247" s="847" t="s">
        <v>726</v>
      </c>
      <c r="I247" s="847"/>
      <c r="J247" s="1082" t="s">
        <v>674</v>
      </c>
      <c r="K247" s="1083"/>
      <c r="L247" s="241"/>
      <c r="M247" s="258">
        <f>LoadedCT</f>
        <v>0.77</v>
      </c>
    </row>
    <row r="248" spans="2:13" s="35" customFormat="1" ht="18" customHeight="1" x14ac:dyDescent="0.35">
      <c r="B248" s="276" t="s">
        <v>723</v>
      </c>
      <c r="C248" s="67"/>
      <c r="D248" s="67"/>
      <c r="E248" s="67"/>
      <c r="F248" s="67"/>
      <c r="G248" s="261" t="s">
        <v>695</v>
      </c>
      <c r="H248" s="847" t="s">
        <v>730</v>
      </c>
      <c r="I248" s="847"/>
      <c r="J248" s="1097" t="s">
        <v>728</v>
      </c>
      <c r="K248" s="1098"/>
      <c r="L248" s="241"/>
      <c r="M248" s="277">
        <f>ROUND(M246*M247,2)</f>
        <v>0.38</v>
      </c>
    </row>
    <row r="249" spans="2:13" s="35" customFormat="1" ht="18" customHeight="1" x14ac:dyDescent="0.25">
      <c r="B249" s="280" t="s">
        <v>729</v>
      </c>
      <c r="C249" s="239"/>
      <c r="D249" s="255"/>
      <c r="E249" s="255"/>
      <c r="F249" s="255"/>
      <c r="G249" s="283"/>
      <c r="H249" s="255"/>
      <c r="I249" s="255"/>
      <c r="J249" s="255"/>
      <c r="K249" s="255"/>
      <c r="L249" s="255"/>
      <c r="M249" s="254"/>
    </row>
    <row r="250" spans="2:13" s="35" customFormat="1" ht="18" customHeight="1" x14ac:dyDescent="0.35">
      <c r="B250" s="276" t="s">
        <v>199</v>
      </c>
      <c r="C250" s="67"/>
      <c r="D250" s="67"/>
      <c r="E250" s="67"/>
      <c r="F250" s="67"/>
      <c r="G250" s="282" t="s">
        <v>695</v>
      </c>
      <c r="H250" s="847" t="s">
        <v>732</v>
      </c>
      <c r="I250" s="847"/>
      <c r="J250" s="1089"/>
      <c r="K250" s="1090"/>
      <c r="L250" s="241"/>
      <c r="M250" s="277">
        <f>DepPC</f>
        <v>1.17</v>
      </c>
    </row>
    <row r="251" spans="2:13" s="35" customFormat="1" ht="18" customHeight="1" x14ac:dyDescent="0.35">
      <c r="B251" s="276" t="s">
        <v>201</v>
      </c>
      <c r="C251" s="67"/>
      <c r="D251" s="67"/>
      <c r="E251" s="67"/>
      <c r="F251" s="67"/>
      <c r="G251" s="282" t="s">
        <v>695</v>
      </c>
      <c r="H251" s="847" t="s">
        <v>733</v>
      </c>
      <c r="I251" s="847"/>
      <c r="J251" s="1089"/>
      <c r="K251" s="1090"/>
      <c r="L251" s="241"/>
      <c r="M251" s="277">
        <f>DepSU</f>
        <v>2.8</v>
      </c>
    </row>
    <row r="252" spans="2:13" s="35" customFormat="1" ht="18" customHeight="1" x14ac:dyDescent="0.35">
      <c r="B252" s="276" t="s">
        <v>202</v>
      </c>
      <c r="C252" s="67"/>
      <c r="D252" s="67"/>
      <c r="E252" s="67"/>
      <c r="F252" s="67"/>
      <c r="G252" s="282" t="s">
        <v>695</v>
      </c>
      <c r="H252" s="847" t="s">
        <v>734</v>
      </c>
      <c r="I252" s="847"/>
      <c r="J252" s="1089"/>
      <c r="K252" s="1090"/>
      <c r="L252" s="241"/>
      <c r="M252" s="277">
        <f>DepCT</f>
        <v>12.26</v>
      </c>
    </row>
    <row r="253" spans="2:13" s="35" customFormat="1" ht="18" customHeight="1" x14ac:dyDescent="0.35">
      <c r="B253" s="276" t="s">
        <v>200</v>
      </c>
      <c r="C253" s="67"/>
      <c r="D253" s="67"/>
      <c r="E253" s="67"/>
      <c r="F253" s="67"/>
      <c r="G253" s="282" t="s">
        <v>695</v>
      </c>
      <c r="H253" s="847" t="s">
        <v>839</v>
      </c>
      <c r="I253" s="847"/>
      <c r="J253" s="1089"/>
      <c r="K253" s="1090"/>
      <c r="L253" s="241"/>
      <c r="M253" s="277">
        <f>DepRV</f>
        <v>2.8</v>
      </c>
    </row>
    <row r="254" spans="2:13" s="35" customFormat="1" ht="18" customHeight="1" x14ac:dyDescent="0.25">
      <c r="B254" s="280" t="s">
        <v>735</v>
      </c>
      <c r="C254" s="239"/>
      <c r="D254" s="255"/>
      <c r="E254" s="255"/>
      <c r="F254" s="255"/>
      <c r="G254" s="283"/>
      <c r="H254" s="255"/>
      <c r="I254" s="255"/>
      <c r="J254" s="255"/>
      <c r="K254" s="255"/>
      <c r="L254" s="255"/>
      <c r="M254" s="254"/>
    </row>
    <row r="255" spans="2:13" s="35" customFormat="1" ht="18" customHeight="1" x14ac:dyDescent="0.25">
      <c r="B255" s="276" t="s">
        <v>199</v>
      </c>
      <c r="C255" s="67"/>
      <c r="D255" s="67"/>
      <c r="E255" s="67"/>
      <c r="F255" s="67"/>
      <c r="G255" s="282" t="s">
        <v>695</v>
      </c>
      <c r="H255" s="999" t="s">
        <v>684</v>
      </c>
      <c r="I255" s="999"/>
      <c r="J255" s="1093" t="s">
        <v>743</v>
      </c>
      <c r="K255" s="1094"/>
      <c r="L255" s="241"/>
      <c r="M255" s="277" t="e">
        <f>TravelCostPC+DepPC</f>
        <v>#N/A</v>
      </c>
    </row>
    <row r="256" spans="2:13" s="35" customFormat="1" ht="30" customHeight="1" x14ac:dyDescent="0.25">
      <c r="B256" s="276" t="s">
        <v>201</v>
      </c>
      <c r="C256" s="67"/>
      <c r="D256" s="67"/>
      <c r="E256" s="67"/>
      <c r="F256" s="67"/>
      <c r="G256" s="282" t="s">
        <v>695</v>
      </c>
      <c r="H256" s="999" t="s">
        <v>705</v>
      </c>
      <c r="I256" s="999"/>
      <c r="J256" s="1091" t="s">
        <v>744</v>
      </c>
      <c r="K256" s="1092"/>
      <c r="L256" s="285"/>
      <c r="M256" s="278">
        <f>TravelCostSU+FreightCostSU+DepSU</f>
        <v>32.239999999999995</v>
      </c>
    </row>
    <row r="257" spans="2:13" s="35" customFormat="1" ht="30" customHeight="1" x14ac:dyDescent="0.25">
      <c r="B257" s="276" t="s">
        <v>202</v>
      </c>
      <c r="C257" s="67"/>
      <c r="D257" s="67"/>
      <c r="E257" s="67"/>
      <c r="F257" s="67"/>
      <c r="G257" s="282" t="s">
        <v>695</v>
      </c>
      <c r="H257" s="999" t="s">
        <v>704</v>
      </c>
      <c r="I257" s="999"/>
      <c r="J257" s="1091" t="s">
        <v>744</v>
      </c>
      <c r="K257" s="1092"/>
      <c r="L257" s="285"/>
      <c r="M257" s="278">
        <f>TravelCostCT+FreightCostCT+DepCT</f>
        <v>53.49</v>
      </c>
    </row>
    <row r="258" spans="2:13" s="35" customFormat="1" ht="18" customHeight="1" x14ac:dyDescent="0.25">
      <c r="B258" s="276" t="s">
        <v>200</v>
      </c>
      <c r="C258" s="67"/>
      <c r="D258" s="67"/>
      <c r="E258" s="67"/>
      <c r="F258" s="67"/>
      <c r="G258" s="282" t="s">
        <v>695</v>
      </c>
      <c r="H258" s="999" t="s">
        <v>736</v>
      </c>
      <c r="I258" s="999"/>
      <c r="J258" s="1093" t="s">
        <v>743</v>
      </c>
      <c r="K258" s="1094"/>
      <c r="L258" s="241"/>
      <c r="M258" s="277" t="e">
        <f>TravelCostPC+DepRV</f>
        <v>#N/A</v>
      </c>
    </row>
    <row r="259" spans="2:13" s="35" customFormat="1" ht="18" customHeight="1" x14ac:dyDescent="0.25">
      <c r="B259" s="260" t="s">
        <v>776</v>
      </c>
      <c r="C259" s="171"/>
      <c r="D259" s="171"/>
      <c r="E259" s="171"/>
      <c r="F259" s="171"/>
      <c r="G259" s="171"/>
      <c r="H259" s="171"/>
      <c r="I259" s="171"/>
      <c r="J259" s="171"/>
      <c r="K259" s="171"/>
      <c r="L259" s="171"/>
      <c r="M259" s="171"/>
    </row>
    <row r="260" spans="2:13" s="35" customFormat="1" ht="18" customHeight="1" x14ac:dyDescent="0.35">
      <c r="B260" s="276" t="s">
        <v>199</v>
      </c>
      <c r="C260" s="67"/>
      <c r="D260" s="67"/>
      <c r="E260" s="67"/>
      <c r="F260" s="67"/>
      <c r="G260" s="282" t="s">
        <v>695</v>
      </c>
      <c r="H260" s="847" t="s">
        <v>745</v>
      </c>
      <c r="I260" s="847"/>
      <c r="J260" s="1082" t="s">
        <v>749</v>
      </c>
      <c r="K260" s="1083"/>
      <c r="L260" s="241"/>
      <c r="M260" s="277">
        <f>ROUND(IdlingAutos*5*Gasoline,2)</f>
        <v>1.76</v>
      </c>
    </row>
    <row r="261" spans="2:13" s="35" customFormat="1" ht="18" customHeight="1" x14ac:dyDescent="0.35">
      <c r="B261" s="276" t="s">
        <v>201</v>
      </c>
      <c r="C261" s="67"/>
      <c r="D261" s="67"/>
      <c r="E261" s="67"/>
      <c r="F261" s="67"/>
      <c r="G261" s="282" t="s">
        <v>695</v>
      </c>
      <c r="H261" s="847" t="s">
        <v>746</v>
      </c>
      <c r="I261" s="847"/>
      <c r="J261" s="1082" t="s">
        <v>749</v>
      </c>
      <c r="K261" s="1083"/>
      <c r="L261" s="241"/>
      <c r="M261" s="277">
        <f>ROUND(IdlingTrucks*5*Diesel,2)</f>
        <v>8.8000000000000007</v>
      </c>
    </row>
    <row r="262" spans="2:13" s="35" customFormat="1" ht="18" customHeight="1" x14ac:dyDescent="0.35">
      <c r="B262" s="276" t="s">
        <v>202</v>
      </c>
      <c r="C262" s="67"/>
      <c r="D262" s="67"/>
      <c r="E262" s="67"/>
      <c r="F262" s="67"/>
      <c r="G262" s="282" t="s">
        <v>695</v>
      </c>
      <c r="H262" s="847" t="s">
        <v>747</v>
      </c>
      <c r="I262" s="847"/>
      <c r="J262" s="1082" t="s">
        <v>749</v>
      </c>
      <c r="K262" s="1083"/>
      <c r="L262" s="241"/>
      <c r="M262" s="277">
        <f>ROUND(IdlingTrucks*5*Diesel,2)</f>
        <v>8.8000000000000007</v>
      </c>
    </row>
    <row r="263" spans="2:13" s="35" customFormat="1" ht="18" customHeight="1" x14ac:dyDescent="0.35">
      <c r="B263" s="276" t="s">
        <v>200</v>
      </c>
      <c r="C263" s="67"/>
      <c r="D263" s="67"/>
      <c r="E263" s="67"/>
      <c r="F263" s="67"/>
      <c r="G263" s="282" t="s">
        <v>695</v>
      </c>
      <c r="H263" s="847" t="s">
        <v>748</v>
      </c>
      <c r="I263" s="847"/>
      <c r="J263" s="1082" t="s">
        <v>749</v>
      </c>
      <c r="K263" s="1083"/>
      <c r="L263" s="241"/>
      <c r="M263" s="277">
        <f>ROUND(IdlingTrucks*5*Gasoline,2)</f>
        <v>7.55</v>
      </c>
    </row>
    <row r="264" spans="2:13" s="35" customFormat="1" ht="18" customHeight="1" x14ac:dyDescent="0.25">
      <c r="B264" s="291" t="s">
        <v>775</v>
      </c>
      <c r="C264" s="171"/>
      <c r="D264" s="171"/>
      <c r="E264" s="171"/>
      <c r="F264" s="171"/>
      <c r="G264" s="171"/>
      <c r="H264" s="171"/>
      <c r="I264" s="171"/>
      <c r="J264" s="171"/>
      <c r="K264" s="171"/>
      <c r="L264" s="296" t="str">
        <f>FirstDirection</f>
        <v>Direction 1</v>
      </c>
      <c r="M264" s="296" t="str">
        <f>SecondDirection</f>
        <v>Direction 2</v>
      </c>
    </row>
    <row r="265" spans="2:13" s="35" customFormat="1" ht="18" customHeight="1" x14ac:dyDescent="0.35">
      <c r="B265" s="276" t="s">
        <v>199</v>
      </c>
      <c r="C265" s="67"/>
      <c r="D265" s="67"/>
      <c r="E265" s="67"/>
      <c r="F265" s="67"/>
      <c r="G265" s="282" t="s">
        <v>695</v>
      </c>
      <c r="H265" s="847" t="s">
        <v>777</v>
      </c>
      <c r="I265" s="847"/>
      <c r="J265" s="1082" t="s">
        <v>749</v>
      </c>
      <c r="K265" s="1083"/>
      <c r="L265" s="277" t="e">
        <f>ROUND(VLOOKUP(wzFFS1,TableFuelConsumption,3)*wzFFS1*Gasoline,2)</f>
        <v>#N/A</v>
      </c>
      <c r="M265" s="277" t="e">
        <f>ROUND(VLOOKUP(wzFFS2,TableFuelConsumption,3)*wzFFS2*Gasoline,2)</f>
        <v>#N/A</v>
      </c>
    </row>
    <row r="266" spans="2:13" s="35" customFormat="1" ht="18" customHeight="1" x14ac:dyDescent="0.35">
      <c r="B266" s="276" t="s">
        <v>201</v>
      </c>
      <c r="C266" s="67"/>
      <c r="D266" s="67"/>
      <c r="E266" s="67"/>
      <c r="F266" s="67"/>
      <c r="G266" s="282" t="s">
        <v>695</v>
      </c>
      <c r="H266" s="847" t="s">
        <v>778</v>
      </c>
      <c r="I266" s="847"/>
      <c r="J266" s="1082" t="s">
        <v>749</v>
      </c>
      <c r="K266" s="1083"/>
      <c r="L266" s="277" t="e">
        <f>ROUND(VLOOKUP(wzFFS1,TableFuelConsumption,6)*wzFFS1*Diesel,2)</f>
        <v>#N/A</v>
      </c>
      <c r="M266" s="277" t="e">
        <f>ROUND(VLOOKUP(wzFFS2,TableFuelConsumption,6)*wzFFS2*Diesel,2)</f>
        <v>#N/A</v>
      </c>
    </row>
    <row r="267" spans="2:13" s="35" customFormat="1" ht="18" customHeight="1" x14ac:dyDescent="0.35">
      <c r="B267" s="276" t="s">
        <v>202</v>
      </c>
      <c r="C267" s="67"/>
      <c r="D267" s="67"/>
      <c r="E267" s="67"/>
      <c r="F267" s="67"/>
      <c r="G267" s="282" t="s">
        <v>695</v>
      </c>
      <c r="H267" s="847" t="s">
        <v>779</v>
      </c>
      <c r="I267" s="847"/>
      <c r="J267" s="1082" t="s">
        <v>749</v>
      </c>
      <c r="K267" s="1083"/>
      <c r="L267" s="277" t="e">
        <f>ROUND(VLOOKUP(wzFFS1,TableFuelConsumption,6)*wzFFS1*Diesel,2)</f>
        <v>#N/A</v>
      </c>
      <c r="M267" s="277" t="e">
        <f>ROUND(VLOOKUP(wzFFS2,TableFuelConsumption,6)*wzFFS2*Diesel,2)</f>
        <v>#N/A</v>
      </c>
    </row>
    <row r="268" spans="2:13" s="35" customFormat="1" ht="18" customHeight="1" x14ac:dyDescent="0.35">
      <c r="B268" s="276" t="s">
        <v>200</v>
      </c>
      <c r="C268" s="67"/>
      <c r="D268" s="67"/>
      <c r="E268" s="67"/>
      <c r="F268" s="67"/>
      <c r="G268" s="282" t="s">
        <v>695</v>
      </c>
      <c r="H268" s="847" t="s">
        <v>780</v>
      </c>
      <c r="I268" s="847"/>
      <c r="J268" s="1082" t="s">
        <v>749</v>
      </c>
      <c r="K268" s="1083"/>
      <c r="L268" s="277" t="e">
        <f>ROUND(VLOOKUP(wzFFS1,TableFuelConsumption,6)*wzFFS1*Gasoline,2)</f>
        <v>#N/A</v>
      </c>
      <c r="M268" s="277" t="e">
        <f>ROUND(VLOOKUP(wzFFS2,TableFuelConsumption,6)*wzFFS2*Gasoline,2)</f>
        <v>#N/A</v>
      </c>
    </row>
    <row r="269" spans="2:13" s="35" customFormat="1" ht="18" customHeight="1" x14ac:dyDescent="0.25">
      <c r="B269" s="260" t="s">
        <v>750</v>
      </c>
      <c r="C269" s="171"/>
      <c r="D269" s="171"/>
      <c r="E269" s="171"/>
      <c r="F269" s="171"/>
      <c r="G269" s="171"/>
      <c r="H269" s="171"/>
      <c r="I269" s="171"/>
      <c r="J269" s="171"/>
      <c r="K269" s="171"/>
      <c r="L269" s="171"/>
      <c r="M269" s="171"/>
    </row>
    <row r="270" spans="2:13" s="35" customFormat="1" ht="18" customHeight="1" x14ac:dyDescent="0.35">
      <c r="B270" s="276" t="s">
        <v>199</v>
      </c>
      <c r="C270" s="67"/>
      <c r="D270" s="67"/>
      <c r="E270" s="67"/>
      <c r="F270" s="67"/>
      <c r="G270" s="282" t="s">
        <v>751</v>
      </c>
      <c r="H270" s="847" t="s">
        <v>752</v>
      </c>
      <c r="I270" s="847"/>
      <c r="J270" s="1089"/>
      <c r="K270" s="1090"/>
      <c r="L270" s="241"/>
      <c r="M270" s="277">
        <f>VOCpc</f>
        <v>0.43</v>
      </c>
    </row>
    <row r="271" spans="2:13" s="35" customFormat="1" ht="18" customHeight="1" x14ac:dyDescent="0.35">
      <c r="B271" s="276" t="s">
        <v>201</v>
      </c>
      <c r="C271" s="67"/>
      <c r="D271" s="67"/>
      <c r="E271" s="67"/>
      <c r="F271" s="67"/>
      <c r="G271" s="282" t="s">
        <v>751</v>
      </c>
      <c r="H271" s="847" t="s">
        <v>753</v>
      </c>
      <c r="I271" s="847"/>
      <c r="J271" s="1089"/>
      <c r="K271" s="1090"/>
      <c r="L271" s="241"/>
      <c r="M271" s="277">
        <f>VOCsu</f>
        <v>0.62</v>
      </c>
    </row>
    <row r="272" spans="2:13" s="35" customFormat="1" ht="18" customHeight="1" x14ac:dyDescent="0.35">
      <c r="B272" s="276" t="s">
        <v>202</v>
      </c>
      <c r="C272" s="67"/>
      <c r="D272" s="67"/>
      <c r="E272" s="67"/>
      <c r="F272" s="67"/>
      <c r="G272" s="282" t="s">
        <v>751</v>
      </c>
      <c r="H272" s="847" t="s">
        <v>754</v>
      </c>
      <c r="I272" s="847"/>
      <c r="J272" s="1089"/>
      <c r="K272" s="1090"/>
      <c r="L272" s="241"/>
      <c r="M272" s="277">
        <f>VOCct</f>
        <v>0.62</v>
      </c>
    </row>
    <row r="273" spans="1:15" s="35" customFormat="1" ht="18" customHeight="1" x14ac:dyDescent="0.35">
      <c r="B273" s="276" t="s">
        <v>200</v>
      </c>
      <c r="C273" s="67"/>
      <c r="D273" s="67"/>
      <c r="E273" s="67"/>
      <c r="F273" s="67"/>
      <c r="G273" s="282" t="s">
        <v>751</v>
      </c>
      <c r="H273" s="847" t="s">
        <v>755</v>
      </c>
      <c r="I273" s="847"/>
      <c r="J273" s="1089"/>
      <c r="K273" s="1090"/>
      <c r="L273" s="241"/>
      <c r="M273" s="277">
        <f>VOCrv</f>
        <v>0.62</v>
      </c>
    </row>
    <row r="274" spans="1:15" s="35" customFormat="1" ht="18" customHeight="1" x14ac:dyDescent="0.25">
      <c r="B274" s="214" t="s">
        <v>821</v>
      </c>
      <c r="C274" s="215"/>
      <c r="D274" s="215"/>
      <c r="E274" s="358" t="s">
        <v>614</v>
      </c>
      <c r="F274" s="359" t="s">
        <v>22</v>
      </c>
      <c r="G274" s="342" t="s">
        <v>822</v>
      </c>
      <c r="H274" s="360" t="s">
        <v>825</v>
      </c>
      <c r="I274" s="359" t="s">
        <v>4</v>
      </c>
      <c r="J274" s="360" t="s">
        <v>826</v>
      </c>
      <c r="K274" s="358" t="s">
        <v>811</v>
      </c>
      <c r="L274" s="358" t="s">
        <v>824</v>
      </c>
      <c r="M274" s="361" t="s">
        <v>823</v>
      </c>
      <c r="N274" s="362" t="s">
        <v>471</v>
      </c>
      <c r="O274" s="357" t="s">
        <v>406</v>
      </c>
    </row>
    <row r="275" spans="1:15" s="35" customFormat="1" ht="18" customHeight="1" x14ac:dyDescent="0.25">
      <c r="B275" s="355" t="s">
        <v>810</v>
      </c>
      <c r="C275" s="347"/>
      <c r="D275" s="17"/>
      <c r="E275" s="364" t="s">
        <v>836</v>
      </c>
      <c r="F275" s="178">
        <f>Tables!R129</f>
        <v>56951</v>
      </c>
      <c r="G275" s="339">
        <f>Tables!R128</f>
        <v>2017</v>
      </c>
      <c r="H275" s="366">
        <f>VLOOKUP(G275,TableCPI,3)</f>
        <v>246.524</v>
      </c>
      <c r="I275" s="178">
        <f>BaseYear</f>
        <v>2019</v>
      </c>
      <c r="J275" s="366">
        <f>VLOOKUP(I275,TableCPI,3)</f>
        <v>255.548</v>
      </c>
      <c r="K275" s="297">
        <f>ROUND((J275/H275)*F275,0)</f>
        <v>59036</v>
      </c>
      <c r="L275" s="371">
        <f>1+InflationTotal</f>
        <v>1</v>
      </c>
      <c r="M275" s="178">
        <f>ROUND(K275*L275,0)</f>
        <v>59036</v>
      </c>
      <c r="N275" s="373"/>
      <c r="O275" s="337">
        <f>M275</f>
        <v>59036</v>
      </c>
    </row>
    <row r="276" spans="1:15" ht="18" customHeight="1" x14ac:dyDescent="0.25">
      <c r="B276" s="334" t="s">
        <v>818</v>
      </c>
      <c r="C276" s="17"/>
      <c r="D276" s="17"/>
      <c r="E276" s="364" t="s">
        <v>356</v>
      </c>
      <c r="F276" s="193">
        <f>Tables!E138</f>
        <v>5.5E-2</v>
      </c>
      <c r="G276" s="230"/>
      <c r="H276" s="367"/>
      <c r="I276" s="139"/>
      <c r="J276" s="367"/>
      <c r="K276" s="370"/>
      <c r="L276" s="372"/>
      <c r="M276" s="193">
        <f>F276</f>
        <v>5.5E-2</v>
      </c>
      <c r="N276" s="373"/>
      <c r="O276" s="363">
        <f>M276</f>
        <v>5.5E-2</v>
      </c>
    </row>
    <row r="277" spans="1:15" s="35" customFormat="1" ht="18" customHeight="1" x14ac:dyDescent="0.25">
      <c r="B277" s="334" t="s">
        <v>32</v>
      </c>
      <c r="C277" s="17"/>
      <c r="D277" s="17"/>
      <c r="E277" s="365"/>
      <c r="F277" s="368"/>
      <c r="G277" s="230"/>
      <c r="H277" s="367"/>
      <c r="I277" s="139"/>
      <c r="J277" s="367"/>
      <c r="K277" s="370"/>
      <c r="L277" s="372"/>
      <c r="M277" s="139"/>
      <c r="N277" s="373"/>
      <c r="O277" s="421">
        <f>ROUND((LendingRate+0.01)/8760,8)</f>
        <v>7.4200000000000001E-6</v>
      </c>
    </row>
    <row r="278" spans="1:15" ht="18" customHeight="1" x14ac:dyDescent="0.25">
      <c r="B278" s="334" t="s">
        <v>710</v>
      </c>
      <c r="C278" s="17"/>
      <c r="D278" s="17"/>
      <c r="E278" s="364" t="s">
        <v>711</v>
      </c>
      <c r="F278" s="178">
        <f>Tables!AK138</f>
        <v>1.35</v>
      </c>
      <c r="G278" s="339">
        <f>Tables!AK137</f>
        <v>1993</v>
      </c>
      <c r="H278" s="366">
        <f>VLOOKUP(G278,TableNIPA,3)</f>
        <v>93.786000000000001</v>
      </c>
      <c r="I278" s="178">
        <f>BaseYear</f>
        <v>2019</v>
      </c>
      <c r="J278" s="366">
        <f>VLOOKUP(I278,TableNIPA,3)</f>
        <v>111.37</v>
      </c>
      <c r="K278" s="297">
        <f>ROUND((J278/H278)*F278,2)</f>
        <v>1.6</v>
      </c>
      <c r="L278" s="371">
        <f>1+InflationTotal</f>
        <v>1</v>
      </c>
      <c r="M278" s="139"/>
      <c r="N278" s="373"/>
      <c r="O278" s="374">
        <f>ROUND(K278*L278,2)</f>
        <v>1.6</v>
      </c>
    </row>
    <row r="279" spans="1:15" ht="18" customHeight="1" x14ac:dyDescent="0.25">
      <c r="A279" s="35"/>
      <c r="B279" s="181" t="s">
        <v>946</v>
      </c>
      <c r="C279" s="341"/>
      <c r="D279" s="182"/>
      <c r="E279" s="356"/>
      <c r="F279" s="335"/>
      <c r="G279" s="335"/>
      <c r="H279" s="354"/>
      <c r="I279" s="335"/>
      <c r="J279" s="354"/>
      <c r="K279" s="335"/>
      <c r="L279" s="335"/>
      <c r="M279" s="335"/>
      <c r="N279" s="335"/>
      <c r="O279" s="336"/>
    </row>
    <row r="280" spans="1:15" s="35" customFormat="1" ht="18" customHeight="1" x14ac:dyDescent="0.25">
      <c r="B280" s="343" t="s">
        <v>947</v>
      </c>
      <c r="C280" s="17"/>
      <c r="D280" s="17"/>
      <c r="E280" s="364" t="s">
        <v>277</v>
      </c>
      <c r="F280" s="369">
        <f>Tables!Y129</f>
        <v>24.91</v>
      </c>
      <c r="G280" s="406">
        <f>Tables!Y$127</f>
        <v>2018</v>
      </c>
      <c r="H280" s="366">
        <f>VLOOKUP(G280,TableCPI,3)</f>
        <v>250.54599999999999</v>
      </c>
      <c r="I280" s="178">
        <f t="shared" ref="I280:I281" si="6">BaseYear</f>
        <v>2019</v>
      </c>
      <c r="J280" s="366">
        <f>VLOOKUP(I280,TableCPI,3)</f>
        <v>255.548</v>
      </c>
      <c r="K280" s="297">
        <f>ROUND((J280/H280)*F280,2)</f>
        <v>25.41</v>
      </c>
      <c r="L280" s="371">
        <f>1+InflationTotal</f>
        <v>1</v>
      </c>
      <c r="M280" s="414">
        <f>ROUND(K280*L280,2)</f>
        <v>25.41</v>
      </c>
      <c r="N280" s="373"/>
      <c r="O280" s="139"/>
    </row>
    <row r="281" spans="1:15" s="35" customFormat="1" ht="18" customHeight="1" x14ac:dyDescent="0.25">
      <c r="B281" s="343" t="s">
        <v>948</v>
      </c>
      <c r="C281" s="348"/>
      <c r="D281" s="17"/>
      <c r="E281" s="364" t="s">
        <v>277</v>
      </c>
      <c r="F281" s="369">
        <f>Tables!AA129</f>
        <v>11.41</v>
      </c>
      <c r="G281" s="406">
        <f>Tables!Y$127</f>
        <v>2018</v>
      </c>
      <c r="H281" s="366">
        <f>VLOOKUP(G281,TableCPI,3)</f>
        <v>250.54599999999999</v>
      </c>
      <c r="I281" s="178">
        <f t="shared" si="6"/>
        <v>2019</v>
      </c>
      <c r="J281" s="366">
        <f>VLOOKUP(I281,TableCPI,3)</f>
        <v>255.548</v>
      </c>
      <c r="K281" s="297">
        <f>ROUND((J281/H281)*F281,2)</f>
        <v>11.64</v>
      </c>
      <c r="L281" s="371">
        <f>1+InflationTotal</f>
        <v>1</v>
      </c>
      <c r="M281" s="414">
        <f>ROUND(K281*L281,2)</f>
        <v>11.64</v>
      </c>
      <c r="N281" s="373"/>
      <c r="O281" s="139"/>
    </row>
    <row r="282" spans="1:15" s="35" customFormat="1" ht="18" customHeight="1" x14ac:dyDescent="0.25">
      <c r="B282" s="343" t="s">
        <v>949</v>
      </c>
      <c r="C282" s="17"/>
      <c r="D282" s="17"/>
      <c r="E282" s="364" t="s">
        <v>277</v>
      </c>
      <c r="F282" s="368"/>
      <c r="G282" s="230"/>
      <c r="H282" s="367"/>
      <c r="I282" s="139"/>
      <c r="J282" s="367"/>
      <c r="K282" s="370"/>
      <c r="L282" s="372"/>
      <c r="M282" s="139"/>
      <c r="N282" s="373"/>
      <c r="O282" s="414">
        <f>SUM(M280:M281)</f>
        <v>37.049999999999997</v>
      </c>
    </row>
    <row r="283" spans="1:15" ht="18" customHeight="1" x14ac:dyDescent="0.25">
      <c r="A283" s="35"/>
      <c r="B283" s="343" t="s">
        <v>812</v>
      </c>
      <c r="C283" s="17"/>
      <c r="D283" s="17"/>
      <c r="E283" s="364" t="s">
        <v>277</v>
      </c>
      <c r="F283" s="369">
        <f>Tables!Y130</f>
        <v>14.13</v>
      </c>
      <c r="G283" s="339">
        <f>Tables!Y$127</f>
        <v>2018</v>
      </c>
      <c r="H283" s="366">
        <f>VLOOKUP(G283,TableCPI,3)</f>
        <v>250.54599999999999</v>
      </c>
      <c r="I283" s="178">
        <f t="shared" ref="I283:I287" si="7">BaseYear</f>
        <v>2019</v>
      </c>
      <c r="J283" s="366">
        <f>VLOOKUP(I283,TableCPI,3)</f>
        <v>255.548</v>
      </c>
      <c r="K283" s="297">
        <f>ROUND((J283/H283)*F283,2)</f>
        <v>14.41</v>
      </c>
      <c r="L283" s="371">
        <f>1+InflationTotal</f>
        <v>1</v>
      </c>
      <c r="M283" s="374">
        <f>ROUND(K283*L283,2)</f>
        <v>14.41</v>
      </c>
      <c r="N283" s="373"/>
      <c r="O283" s="139"/>
    </row>
    <row r="284" spans="1:15" ht="18" customHeight="1" x14ac:dyDescent="0.25">
      <c r="A284" s="35"/>
      <c r="B284" s="343" t="s">
        <v>813</v>
      </c>
      <c r="C284" s="348"/>
      <c r="D284" s="17"/>
      <c r="E284" s="364" t="s">
        <v>277</v>
      </c>
      <c r="F284" s="369">
        <f>Tables!AA130</f>
        <v>13.84</v>
      </c>
      <c r="G284" s="339">
        <f>Tables!Y$127</f>
        <v>2018</v>
      </c>
      <c r="H284" s="366">
        <f>VLOOKUP(G284,TableCPI,3)</f>
        <v>250.54599999999999</v>
      </c>
      <c r="I284" s="178">
        <f t="shared" si="7"/>
        <v>2019</v>
      </c>
      <c r="J284" s="366">
        <f>VLOOKUP(I284,TableCPI,3)</f>
        <v>255.548</v>
      </c>
      <c r="K284" s="297">
        <f>ROUND((J284/H284)*F284,2)</f>
        <v>14.12</v>
      </c>
      <c r="L284" s="371">
        <f>1+InflationTotal</f>
        <v>1</v>
      </c>
      <c r="M284" s="374">
        <f>ROUND(K284*L284,2)</f>
        <v>14.12</v>
      </c>
      <c r="N284" s="373"/>
      <c r="O284" s="139"/>
    </row>
    <row r="285" spans="1:15" ht="18" customHeight="1" x14ac:dyDescent="0.25">
      <c r="B285" s="343" t="s">
        <v>814</v>
      </c>
      <c r="C285" s="17"/>
      <c r="D285" s="17"/>
      <c r="E285" s="364" t="s">
        <v>277</v>
      </c>
      <c r="F285" s="368"/>
      <c r="G285" s="230"/>
      <c r="H285" s="367"/>
      <c r="I285" s="139"/>
      <c r="J285" s="367"/>
      <c r="K285" s="370"/>
      <c r="L285" s="372"/>
      <c r="M285" s="139"/>
      <c r="N285" s="373"/>
      <c r="O285" s="374">
        <f>SUM(M283:M284)</f>
        <v>28.53</v>
      </c>
    </row>
    <row r="286" spans="1:15" ht="18" customHeight="1" x14ac:dyDescent="0.25">
      <c r="B286" s="343" t="s">
        <v>815</v>
      </c>
      <c r="C286" s="17"/>
      <c r="D286" s="17"/>
      <c r="E286" s="364" t="s">
        <v>277</v>
      </c>
      <c r="F286" s="369">
        <f>Tables!Y131</f>
        <v>21.91</v>
      </c>
      <c r="G286" s="339">
        <f>Tables!Y$127</f>
        <v>2018</v>
      </c>
      <c r="H286" s="366">
        <f>VLOOKUP(G286,TableCPI,3)</f>
        <v>250.54599999999999</v>
      </c>
      <c r="I286" s="178">
        <f t="shared" si="7"/>
        <v>2019</v>
      </c>
      <c r="J286" s="366">
        <f>VLOOKUP(I286,TableCPI,3)</f>
        <v>255.548</v>
      </c>
      <c r="K286" s="297">
        <f>ROUND((J286/H286)*F286,2)</f>
        <v>22.35</v>
      </c>
      <c r="L286" s="371">
        <f>1+InflationTotal</f>
        <v>1</v>
      </c>
      <c r="M286" s="374">
        <f>ROUND(K286*L286,2)</f>
        <v>22.35</v>
      </c>
      <c r="N286" s="373"/>
      <c r="O286" s="139"/>
    </row>
    <row r="287" spans="1:15" ht="18" customHeight="1" x14ac:dyDescent="0.25">
      <c r="B287" s="343" t="s">
        <v>816</v>
      </c>
      <c r="C287" s="17"/>
      <c r="D287" s="17"/>
      <c r="E287" s="364" t="s">
        <v>277</v>
      </c>
      <c r="F287" s="369">
        <f>Tables!AA131</f>
        <v>13.84</v>
      </c>
      <c r="G287" s="339">
        <f>Tables!Y$127</f>
        <v>2018</v>
      </c>
      <c r="H287" s="366">
        <f>VLOOKUP(G287,TableCPI,3)</f>
        <v>250.54599999999999</v>
      </c>
      <c r="I287" s="178">
        <f t="shared" si="7"/>
        <v>2019</v>
      </c>
      <c r="J287" s="366">
        <f>VLOOKUP(I287,TableCPI,3)</f>
        <v>255.548</v>
      </c>
      <c r="K287" s="297">
        <f>ROUND((J287/H287)*F287,2)</f>
        <v>14.12</v>
      </c>
      <c r="L287" s="371">
        <f>1+InflationTotal</f>
        <v>1</v>
      </c>
      <c r="M287" s="374">
        <f>ROUND(K287*L287,2)</f>
        <v>14.12</v>
      </c>
      <c r="N287" s="373"/>
      <c r="O287" s="139"/>
    </row>
    <row r="288" spans="1:15" ht="18" customHeight="1" x14ac:dyDescent="0.25">
      <c r="B288" s="349" t="s">
        <v>817</v>
      </c>
      <c r="C288" s="49"/>
      <c r="D288" s="49"/>
      <c r="E288" s="364" t="s">
        <v>277</v>
      </c>
      <c r="F288" s="368"/>
      <c r="G288" s="230"/>
      <c r="H288" s="367"/>
      <c r="I288" s="139"/>
      <c r="J288" s="367"/>
      <c r="K288" s="370"/>
      <c r="L288" s="372"/>
      <c r="M288" s="139"/>
      <c r="N288" s="373"/>
      <c r="O288" s="374">
        <f>SUM(M286:M287)</f>
        <v>36.47</v>
      </c>
    </row>
    <row r="289" spans="1:15" ht="18" customHeight="1" x14ac:dyDescent="0.25">
      <c r="B289" s="181" t="s">
        <v>819</v>
      </c>
      <c r="C289" s="182"/>
      <c r="D289" s="182"/>
      <c r="E289" s="356"/>
      <c r="F289" s="335"/>
      <c r="G289" s="335"/>
      <c r="H289" s="354"/>
      <c r="I289" s="335"/>
      <c r="J289" s="354"/>
      <c r="K289" s="335"/>
      <c r="L289" s="335"/>
      <c r="M289" s="335"/>
      <c r="N289" s="335"/>
      <c r="O289" s="336"/>
    </row>
    <row r="290" spans="1:15" ht="18" customHeight="1" x14ac:dyDescent="0.25">
      <c r="B290" s="343" t="s">
        <v>970</v>
      </c>
      <c r="C290" s="17"/>
      <c r="D290" s="17"/>
      <c r="E290" s="364" t="s">
        <v>277</v>
      </c>
      <c r="F290" s="179">
        <f>Tables!Y138</f>
        <v>1.0900000000000001</v>
      </c>
      <c r="G290" s="339">
        <f>Tables!Y$137</f>
        <v>1995</v>
      </c>
      <c r="H290" s="184">
        <f>VLOOKUP(G290,TablePPI,3)</f>
        <v>134.1</v>
      </c>
      <c r="I290" s="178">
        <f>BaseYear</f>
        <v>2019</v>
      </c>
      <c r="J290" s="184">
        <f>VLOOKUP(I290,TablePPI,3)</f>
        <v>135.1</v>
      </c>
      <c r="K290" s="424">
        <f>ROUND((J290/H290)*F290,2)</f>
        <v>1.1000000000000001</v>
      </c>
      <c r="L290" s="371">
        <f>1+InflationTotal</f>
        <v>1</v>
      </c>
      <c r="M290" s="139"/>
      <c r="N290" s="373"/>
      <c r="O290" s="1087">
        <f>ROUND(AVERAGE(K290,K291),2)</f>
        <v>1.17</v>
      </c>
    </row>
    <row r="291" spans="1:15" s="35" customFormat="1" ht="18" customHeight="1" x14ac:dyDescent="0.25">
      <c r="B291" s="343" t="s">
        <v>971</v>
      </c>
      <c r="C291" s="17"/>
      <c r="D291" s="17"/>
      <c r="E291" s="364" t="s">
        <v>277</v>
      </c>
      <c r="F291" s="179">
        <f>Tables!Y139</f>
        <v>1.45</v>
      </c>
      <c r="G291" s="419">
        <f>Tables!Y$137</f>
        <v>1995</v>
      </c>
      <c r="H291" s="184">
        <f>VLOOKUP(G291,TablePPI,5)</f>
        <v>159</v>
      </c>
      <c r="I291" s="178">
        <f>BaseYear</f>
        <v>2019</v>
      </c>
      <c r="J291" s="184">
        <f>VLOOKUP(I291,TablePPI,5)</f>
        <v>135.1</v>
      </c>
      <c r="K291" s="424">
        <f>ROUND((J291/H291)*F291,2)</f>
        <v>1.23</v>
      </c>
      <c r="L291" s="371">
        <f>1+InflationTotal</f>
        <v>1</v>
      </c>
      <c r="M291" s="139"/>
      <c r="N291" s="373"/>
      <c r="O291" s="1088"/>
    </row>
    <row r="292" spans="1:15" ht="18" customHeight="1" x14ac:dyDescent="0.25">
      <c r="B292" s="343" t="s">
        <v>29</v>
      </c>
      <c r="C292" s="17"/>
      <c r="D292" s="17"/>
      <c r="E292" s="364" t="s">
        <v>277</v>
      </c>
      <c r="F292" s="179">
        <f>Tables!AB140</f>
        <v>2.2799999999999998</v>
      </c>
      <c r="G292" s="339">
        <f>Tables!Y$137</f>
        <v>1995</v>
      </c>
      <c r="H292" s="184">
        <f>VLOOKUP(G292,TablePPI,9)</f>
        <v>144.1</v>
      </c>
      <c r="I292" s="178">
        <f>BaseYear</f>
        <v>2019</v>
      </c>
      <c r="J292" s="184">
        <f>VLOOKUP(I292,TablePPI,9)</f>
        <v>177.2</v>
      </c>
      <c r="K292" s="424">
        <f>ROUND((J292/H292)*F292,2)</f>
        <v>2.8</v>
      </c>
      <c r="L292" s="371">
        <f>1+InflationTotal</f>
        <v>1</v>
      </c>
      <c r="M292" s="139"/>
      <c r="N292" s="373"/>
      <c r="O292" s="374">
        <f>ROUND(K292*L292,2)</f>
        <v>2.8</v>
      </c>
    </row>
    <row r="293" spans="1:15" ht="18" customHeight="1" x14ac:dyDescent="0.25">
      <c r="B293" s="343" t="s">
        <v>30</v>
      </c>
      <c r="C293" s="17"/>
      <c r="D293" s="17"/>
      <c r="E293" s="364" t="s">
        <v>277</v>
      </c>
      <c r="F293" s="179">
        <f>Tables!AB142</f>
        <v>6.58</v>
      </c>
      <c r="G293" s="339">
        <f>Tables!Y$137</f>
        <v>1995</v>
      </c>
      <c r="H293" s="184">
        <f>VLOOKUP(G293,TablePPI,15)</f>
        <v>124.5</v>
      </c>
      <c r="I293" s="178">
        <f>BaseYear</f>
        <v>2019</v>
      </c>
      <c r="J293" s="184">
        <f>VLOOKUP(I293,TablePPI,15)</f>
        <v>231.9</v>
      </c>
      <c r="K293" s="424">
        <f>ROUND((J293/H293)*F293,2)</f>
        <v>12.26</v>
      </c>
      <c r="L293" s="371">
        <f>1+InflationTotal</f>
        <v>1</v>
      </c>
      <c r="M293" s="139"/>
      <c r="N293" s="373"/>
      <c r="O293" s="374">
        <f>ROUND(K293*L293,2)</f>
        <v>12.26</v>
      </c>
    </row>
    <row r="294" spans="1:15" ht="18" customHeight="1" x14ac:dyDescent="0.25">
      <c r="B294" s="343" t="s">
        <v>28</v>
      </c>
      <c r="C294" s="17"/>
      <c r="D294" s="17"/>
      <c r="E294" s="364" t="s">
        <v>277</v>
      </c>
      <c r="F294" s="179">
        <f>Tables!AB140</f>
        <v>2.2799999999999998</v>
      </c>
      <c r="G294" s="339">
        <f>Tables!Y$137</f>
        <v>1995</v>
      </c>
      <c r="H294" s="184">
        <f>VLOOKUP(G294,TablePPI,9)</f>
        <v>144.1</v>
      </c>
      <c r="I294" s="178">
        <f>BaseYear</f>
        <v>2019</v>
      </c>
      <c r="J294" s="184">
        <f>VLOOKUP(I294,TablePPI,9)</f>
        <v>177.2</v>
      </c>
      <c r="K294" s="424">
        <f>ROUND((J294/H294)*F294,2)</f>
        <v>2.8</v>
      </c>
      <c r="L294" s="371">
        <f>1+InflationTotal</f>
        <v>1</v>
      </c>
      <c r="M294" s="139"/>
      <c r="N294" s="373"/>
      <c r="O294" s="374">
        <f>ROUND(K294*L294,2)</f>
        <v>2.8</v>
      </c>
    </row>
    <row r="295" spans="1:15" ht="18" customHeight="1" x14ac:dyDescent="0.25">
      <c r="B295" s="181" t="s">
        <v>820</v>
      </c>
      <c r="C295" s="182"/>
      <c r="D295" s="182"/>
      <c r="E295" s="356"/>
      <c r="F295" s="335"/>
      <c r="G295" s="335"/>
      <c r="H295" s="354"/>
      <c r="I295" s="335"/>
      <c r="J295" s="354"/>
      <c r="K295" s="335"/>
      <c r="L295" s="335"/>
      <c r="M295" s="335"/>
      <c r="N295" s="335"/>
      <c r="O295" s="336"/>
    </row>
    <row r="296" spans="1:15" ht="18" customHeight="1" x14ac:dyDescent="0.25">
      <c r="B296" s="343" t="s">
        <v>27</v>
      </c>
      <c r="C296" s="17"/>
      <c r="D296" s="17"/>
      <c r="E296" s="364" t="s">
        <v>293</v>
      </c>
      <c r="F296" s="178">
        <f>Tables!AB159</f>
        <v>0.42</v>
      </c>
      <c r="G296" s="339">
        <f>Tables!AB150</f>
        <v>2018</v>
      </c>
      <c r="H296" s="366">
        <f>VLOOKUP(G296,TableCPI,3)</f>
        <v>250.54599999999999</v>
      </c>
      <c r="I296" s="178">
        <f>BaseYear</f>
        <v>2019</v>
      </c>
      <c r="J296" s="366">
        <f>VLOOKUP(I296,TableCPI,3)</f>
        <v>255.548</v>
      </c>
      <c r="K296" s="297">
        <f>ROUND((J296/H296)*F296,2)</f>
        <v>0.43</v>
      </c>
      <c r="L296" s="371">
        <f>1+InflationTotal</f>
        <v>1</v>
      </c>
      <c r="M296" s="139"/>
      <c r="N296" s="373"/>
      <c r="O296" s="374">
        <f>ROUND(K296*L296,2)</f>
        <v>0.43</v>
      </c>
    </row>
    <row r="297" spans="1:15" ht="18" customHeight="1" x14ac:dyDescent="0.25">
      <c r="B297" s="343" t="s">
        <v>29</v>
      </c>
      <c r="C297" s="17"/>
      <c r="D297" s="17"/>
      <c r="E297" s="364" t="s">
        <v>293</v>
      </c>
      <c r="F297" s="178">
        <f>Tables!N165</f>
        <v>0.6</v>
      </c>
      <c r="G297" s="339">
        <f>Tables!N161</f>
        <v>2017</v>
      </c>
      <c r="H297" s="366">
        <f>VLOOKUP(G297,TableCPI,3)</f>
        <v>246.524</v>
      </c>
      <c r="I297" s="178">
        <f>BaseYear</f>
        <v>2019</v>
      </c>
      <c r="J297" s="366">
        <f>VLOOKUP(I297,TableCPI,3)</f>
        <v>255.548</v>
      </c>
      <c r="K297" s="297">
        <f>ROUND((J297/H297)*F297,2)</f>
        <v>0.62</v>
      </c>
      <c r="L297" s="371">
        <f>1+InflationTotal</f>
        <v>1</v>
      </c>
      <c r="M297" s="139"/>
      <c r="N297" s="373"/>
      <c r="O297" s="374">
        <f>ROUND(K297*L297,2)</f>
        <v>0.62</v>
      </c>
    </row>
    <row r="298" spans="1:15" ht="18" customHeight="1" x14ac:dyDescent="0.25">
      <c r="B298" s="343" t="s">
        <v>30</v>
      </c>
      <c r="C298" s="17"/>
      <c r="D298" s="17"/>
      <c r="E298" s="364" t="s">
        <v>293</v>
      </c>
      <c r="F298" s="178">
        <f>Tables!N165</f>
        <v>0.6</v>
      </c>
      <c r="G298" s="339">
        <f>Tables!N161</f>
        <v>2017</v>
      </c>
      <c r="H298" s="366">
        <f>VLOOKUP(G298,TableCPI,3)</f>
        <v>246.524</v>
      </c>
      <c r="I298" s="178">
        <f>BaseYear</f>
        <v>2019</v>
      </c>
      <c r="J298" s="366">
        <f>VLOOKUP(I298,TableCPI,3)</f>
        <v>255.548</v>
      </c>
      <c r="K298" s="297">
        <f>ROUND((J298/H298)*F298,2)</f>
        <v>0.62</v>
      </c>
      <c r="L298" s="371">
        <f>1+InflationTotal</f>
        <v>1</v>
      </c>
      <c r="M298" s="139"/>
      <c r="N298" s="373"/>
      <c r="O298" s="374">
        <f>ROUND(K298*L298,2)</f>
        <v>0.62</v>
      </c>
    </row>
    <row r="299" spans="1:15" ht="18" customHeight="1" x14ac:dyDescent="0.25">
      <c r="B299" s="343" t="s">
        <v>28</v>
      </c>
      <c r="C299" s="17"/>
      <c r="D299" s="17"/>
      <c r="E299" s="364" t="s">
        <v>293</v>
      </c>
      <c r="F299" s="178">
        <f>Tables!N165</f>
        <v>0.6</v>
      </c>
      <c r="G299" s="339">
        <f>Tables!N161</f>
        <v>2017</v>
      </c>
      <c r="H299" s="366">
        <f>VLOOKUP(G299,TableCPI,3)</f>
        <v>246.524</v>
      </c>
      <c r="I299" s="178">
        <f>BaseYear</f>
        <v>2019</v>
      </c>
      <c r="J299" s="366">
        <f>VLOOKUP(I299,TableCPI,3)</f>
        <v>255.548</v>
      </c>
      <c r="K299" s="297">
        <f>ROUND((J299/H299)*F299,2)</f>
        <v>0.62</v>
      </c>
      <c r="L299" s="371">
        <f>1+InflationTotal</f>
        <v>1</v>
      </c>
      <c r="M299" s="139"/>
      <c r="N299" s="373"/>
      <c r="O299" s="374">
        <f>ROUND(K299*L299,2)</f>
        <v>0.62</v>
      </c>
    </row>
    <row r="300" spans="1:15" x14ac:dyDescent="0.25">
      <c r="B300" s="181" t="s">
        <v>837</v>
      </c>
      <c r="C300" s="182"/>
      <c r="D300" s="182"/>
      <c r="E300" s="356"/>
      <c r="F300" s="335"/>
      <c r="G300" s="335"/>
      <c r="H300" s="354"/>
      <c r="I300" s="335"/>
      <c r="J300" s="354"/>
      <c r="K300" s="335"/>
      <c r="L300" s="335"/>
      <c r="M300" s="335"/>
      <c r="N300" s="335"/>
      <c r="O300" s="336"/>
    </row>
    <row r="301" spans="1:15" x14ac:dyDescent="0.25">
      <c r="B301" s="343" t="s">
        <v>309</v>
      </c>
      <c r="C301" s="17"/>
      <c r="D301" s="17"/>
      <c r="E301" s="364" t="s">
        <v>838</v>
      </c>
      <c r="F301" s="179">
        <f>Tables!AH165</f>
        <v>3</v>
      </c>
      <c r="G301" s="339">
        <f>Tables!AK163</f>
        <v>2019</v>
      </c>
      <c r="H301" s="366">
        <f>VLOOKUP(G301,TableCPI,3)</f>
        <v>255.548</v>
      </c>
      <c r="I301" s="178">
        <f>BaseYear</f>
        <v>2019</v>
      </c>
      <c r="J301" s="366">
        <f>VLOOKUP(I301,TableCPI,3)</f>
        <v>255.548</v>
      </c>
      <c r="K301" s="297">
        <f>ROUND((J301/H301)*F301,2)</f>
        <v>3</v>
      </c>
      <c r="L301" s="371">
        <f>1+InflationTotal</f>
        <v>1</v>
      </c>
      <c r="M301" s="179">
        <f>ROUND(K301*L301,2)</f>
        <v>3</v>
      </c>
      <c r="N301" s="373"/>
      <c r="O301" s="454">
        <f>M301</f>
        <v>3</v>
      </c>
    </row>
    <row r="302" spans="1:15" x14ac:dyDescent="0.25">
      <c r="B302" s="343" t="s">
        <v>310</v>
      </c>
      <c r="C302" s="17"/>
      <c r="D302" s="17"/>
      <c r="E302" s="364" t="s">
        <v>838</v>
      </c>
      <c r="F302" s="179">
        <f>Tables!AK165</f>
        <v>3.5</v>
      </c>
      <c r="G302" s="339">
        <f>Tables!AK163</f>
        <v>2019</v>
      </c>
      <c r="H302" s="366">
        <f>VLOOKUP(G302,TableCPI,3)</f>
        <v>255.548</v>
      </c>
      <c r="I302" s="178">
        <f>BaseYear</f>
        <v>2019</v>
      </c>
      <c r="J302" s="366">
        <f>VLOOKUP(I302,TableCPI,3)</f>
        <v>255.548</v>
      </c>
      <c r="K302" s="297">
        <f>ROUND((J302/H302)*F302,2)</f>
        <v>3.5</v>
      </c>
      <c r="L302" s="371">
        <f>1+InflationTotal</f>
        <v>1</v>
      </c>
      <c r="M302" s="179">
        <f>ROUND(K302*L302,2)</f>
        <v>3.5</v>
      </c>
      <c r="N302" s="373"/>
      <c r="O302" s="454">
        <f>M302</f>
        <v>3.5</v>
      </c>
    </row>
    <row r="303" spans="1:15" s="35" customFormat="1" ht="18" hidden="1" customHeight="1" x14ac:dyDescent="0.25">
      <c r="A303" s="589" t="s">
        <v>1205</v>
      </c>
      <c r="B303" s="1084" t="s">
        <v>1135</v>
      </c>
      <c r="C303" s="1085"/>
      <c r="D303" s="1085"/>
      <c r="E303" s="1086"/>
      <c r="F303" s="138" t="s">
        <v>62</v>
      </c>
      <c r="G303" s="138" t="s">
        <v>406</v>
      </c>
      <c r="I303" s="1084" t="s">
        <v>840</v>
      </c>
      <c r="J303" s="1085"/>
      <c r="K303" s="1085"/>
      <c r="L303" s="1085"/>
      <c r="M303" s="1086"/>
      <c r="N303" s="138" t="s">
        <v>62</v>
      </c>
      <c r="O303" s="138" t="s">
        <v>406</v>
      </c>
    </row>
    <row r="304" spans="1:15" s="35" customFormat="1" ht="18" hidden="1" customHeight="1" x14ac:dyDescent="0.25">
      <c r="A304" s="589" t="s">
        <v>1205</v>
      </c>
      <c r="B304" s="1074" t="s">
        <v>65</v>
      </c>
      <c r="C304" s="1075"/>
      <c r="D304" s="1075"/>
      <c r="E304" s="1076"/>
      <c r="F304" s="63">
        <v>0</v>
      </c>
      <c r="G304" s="63">
        <f t="shared" ref="G304:G314" si="8">IF(Classification=$B304,$F304,"-")</f>
        <v>0</v>
      </c>
      <c r="I304" s="1074" t="s">
        <v>161</v>
      </c>
      <c r="J304" s="1075"/>
      <c r="K304" s="1075"/>
      <c r="L304" s="1075"/>
      <c r="M304" s="1076"/>
      <c r="N304" s="340">
        <v>1</v>
      </c>
      <c r="O304" s="340" t="e">
        <f>IF(HCMType=$I304,$N304,"-")</f>
        <v>#N/A</v>
      </c>
    </row>
    <row r="305" spans="1:15" s="35" customFormat="1" ht="18" hidden="1" customHeight="1" x14ac:dyDescent="0.25">
      <c r="A305" s="589" t="s">
        <v>1205</v>
      </c>
      <c r="B305" s="1074" t="s">
        <v>67</v>
      </c>
      <c r="C305" s="1075"/>
      <c r="D305" s="1075"/>
      <c r="E305" s="1076"/>
      <c r="F305" s="63">
        <v>1</v>
      </c>
      <c r="G305" s="63" t="str">
        <f t="shared" si="8"/>
        <v>-</v>
      </c>
      <c r="I305" s="1074" t="s">
        <v>162</v>
      </c>
      <c r="J305" s="1075"/>
      <c r="K305" s="1075"/>
      <c r="L305" s="1075"/>
      <c r="M305" s="1076"/>
      <c r="N305" s="340">
        <v>2</v>
      </c>
      <c r="O305" s="340" t="e">
        <f>IF(HCMType=$I305,$N305,"-")</f>
        <v>#N/A</v>
      </c>
    </row>
    <row r="306" spans="1:15" s="35" customFormat="1" ht="18" hidden="1" customHeight="1" x14ac:dyDescent="0.25">
      <c r="A306" s="589" t="s">
        <v>1205</v>
      </c>
      <c r="B306" s="1074" t="s">
        <v>69</v>
      </c>
      <c r="C306" s="1075"/>
      <c r="D306" s="1075"/>
      <c r="E306" s="1076"/>
      <c r="F306" s="63">
        <v>2</v>
      </c>
      <c r="G306" s="63" t="str">
        <f t="shared" si="8"/>
        <v>-</v>
      </c>
      <c r="I306" s="1074" t="s">
        <v>163</v>
      </c>
      <c r="J306" s="1075"/>
      <c r="K306" s="1075"/>
      <c r="L306" s="1075"/>
      <c r="M306" s="1076"/>
      <c r="N306" s="340">
        <v>3</v>
      </c>
      <c r="O306" s="340" t="e">
        <f>IF(HCMType=$I306,$N306,"-")</f>
        <v>#N/A</v>
      </c>
    </row>
    <row r="307" spans="1:15" s="35" customFormat="1" ht="18" hidden="1" customHeight="1" x14ac:dyDescent="0.25">
      <c r="A307" s="589" t="s">
        <v>1205</v>
      </c>
      <c r="B307" s="1074" t="s">
        <v>71</v>
      </c>
      <c r="C307" s="1075"/>
      <c r="D307" s="1075"/>
      <c r="E307" s="1076"/>
      <c r="F307" s="63">
        <v>3</v>
      </c>
      <c r="G307" s="63" t="str">
        <f t="shared" si="8"/>
        <v>-</v>
      </c>
      <c r="I307" s="1084" t="s">
        <v>1134</v>
      </c>
      <c r="J307" s="1085"/>
      <c r="K307" s="1085"/>
      <c r="L307" s="1085"/>
      <c r="M307" s="1086"/>
      <c r="N307" s="138" t="s">
        <v>62</v>
      </c>
      <c r="O307" s="138" t="s">
        <v>406</v>
      </c>
    </row>
    <row r="308" spans="1:15" s="35" customFormat="1" ht="18" hidden="1" customHeight="1" x14ac:dyDescent="0.25">
      <c r="A308" s="589" t="s">
        <v>1205</v>
      </c>
      <c r="B308" s="1074" t="s">
        <v>73</v>
      </c>
      <c r="C308" s="1075"/>
      <c r="D308" s="1075"/>
      <c r="E308" s="1076"/>
      <c r="F308" s="63">
        <v>4</v>
      </c>
      <c r="G308" s="63" t="str">
        <f t="shared" si="8"/>
        <v>-</v>
      </c>
      <c r="I308" s="1074" t="s">
        <v>65</v>
      </c>
      <c r="J308" s="1075"/>
      <c r="K308" s="1075"/>
      <c r="L308" s="1075"/>
      <c r="M308" s="1076"/>
      <c r="N308" s="464">
        <v>0</v>
      </c>
      <c r="O308" s="470">
        <f t="shared" ref="O308:O319" si="9">IF(Classification=$I308,$N308,"-")</f>
        <v>0</v>
      </c>
    </row>
    <row r="309" spans="1:15" s="35" customFormat="1" ht="18" hidden="1" customHeight="1" x14ac:dyDescent="0.25">
      <c r="A309" s="589" t="s">
        <v>1205</v>
      </c>
      <c r="B309" s="1074" t="s">
        <v>75</v>
      </c>
      <c r="C309" s="1075"/>
      <c r="D309" s="1075"/>
      <c r="E309" s="1076"/>
      <c r="F309" s="63">
        <v>5</v>
      </c>
      <c r="G309" s="63" t="str">
        <f t="shared" si="8"/>
        <v>-</v>
      </c>
      <c r="I309" s="1074" t="s">
        <v>1112</v>
      </c>
      <c r="J309" s="1075"/>
      <c r="K309" s="1075"/>
      <c r="L309" s="1075"/>
      <c r="M309" s="1076"/>
      <c r="N309" s="464">
        <v>1</v>
      </c>
      <c r="O309" s="464" t="str">
        <f t="shared" si="9"/>
        <v>-</v>
      </c>
    </row>
    <row r="310" spans="1:15" s="35" customFormat="1" ht="18" hidden="1" customHeight="1" x14ac:dyDescent="0.25">
      <c r="A310" s="589" t="s">
        <v>1205</v>
      </c>
      <c r="B310" s="1074" t="s">
        <v>77</v>
      </c>
      <c r="C310" s="1075"/>
      <c r="D310" s="1075"/>
      <c r="E310" s="1076"/>
      <c r="F310" s="63">
        <v>6</v>
      </c>
      <c r="G310" s="63" t="str">
        <f t="shared" si="8"/>
        <v>-</v>
      </c>
      <c r="I310" s="1074" t="s">
        <v>1113</v>
      </c>
      <c r="J310" s="1075"/>
      <c r="K310" s="1075"/>
      <c r="L310" s="1075"/>
      <c r="M310" s="1076"/>
      <c r="N310" s="464">
        <v>2</v>
      </c>
      <c r="O310" s="470" t="str">
        <f t="shared" si="9"/>
        <v>-</v>
      </c>
    </row>
    <row r="311" spans="1:15" s="35" customFormat="1" ht="18" hidden="1" customHeight="1" x14ac:dyDescent="0.25">
      <c r="A311" s="589" t="s">
        <v>1205</v>
      </c>
      <c r="B311" s="1074" t="s">
        <v>79</v>
      </c>
      <c r="C311" s="1075"/>
      <c r="D311" s="1075"/>
      <c r="E311" s="1076"/>
      <c r="F311" s="63">
        <v>7</v>
      </c>
      <c r="G311" s="63" t="str">
        <f t="shared" si="8"/>
        <v>-</v>
      </c>
      <c r="I311" s="1074" t="s">
        <v>1114</v>
      </c>
      <c r="J311" s="1075"/>
      <c r="K311" s="1075"/>
      <c r="L311" s="1075"/>
      <c r="M311" s="1076"/>
      <c r="N311" s="464">
        <v>3</v>
      </c>
      <c r="O311" s="470" t="str">
        <f t="shared" si="9"/>
        <v>-</v>
      </c>
    </row>
    <row r="312" spans="1:15" s="35" customFormat="1" ht="18" hidden="1" customHeight="1" x14ac:dyDescent="0.25">
      <c r="A312" s="589" t="s">
        <v>1205</v>
      </c>
      <c r="B312" s="1074" t="s">
        <v>81</v>
      </c>
      <c r="C312" s="1075"/>
      <c r="D312" s="1075"/>
      <c r="E312" s="1076"/>
      <c r="F312" s="63">
        <v>8</v>
      </c>
      <c r="G312" s="63" t="str">
        <f t="shared" si="8"/>
        <v>-</v>
      </c>
      <c r="I312" s="1074" t="s">
        <v>1115</v>
      </c>
      <c r="J312" s="1075"/>
      <c r="K312" s="1075"/>
      <c r="L312" s="1075"/>
      <c r="M312" s="1076"/>
      <c r="N312" s="464">
        <v>4</v>
      </c>
      <c r="O312" s="470" t="str">
        <f t="shared" si="9"/>
        <v>-</v>
      </c>
    </row>
    <row r="313" spans="1:15" s="35" customFormat="1" ht="18" hidden="1" customHeight="1" x14ac:dyDescent="0.25">
      <c r="A313" s="589" t="s">
        <v>1205</v>
      </c>
      <c r="B313" s="1074" t="s">
        <v>83</v>
      </c>
      <c r="C313" s="1075"/>
      <c r="D313" s="1075"/>
      <c r="E313" s="1076"/>
      <c r="F313" s="63">
        <v>9</v>
      </c>
      <c r="G313" s="63" t="str">
        <f t="shared" si="8"/>
        <v>-</v>
      </c>
      <c r="I313" s="1074" t="s">
        <v>1116</v>
      </c>
      <c r="J313" s="1075"/>
      <c r="K313" s="1075"/>
      <c r="L313" s="1075"/>
      <c r="M313" s="1076"/>
      <c r="N313" s="464">
        <v>5</v>
      </c>
      <c r="O313" s="470" t="str">
        <f t="shared" si="9"/>
        <v>-</v>
      </c>
    </row>
    <row r="314" spans="1:15" s="35" customFormat="1" ht="18" hidden="1" customHeight="1" x14ac:dyDescent="0.25">
      <c r="A314" s="589" t="s">
        <v>1205</v>
      </c>
      <c r="B314" s="1074" t="s">
        <v>86</v>
      </c>
      <c r="C314" s="1075"/>
      <c r="D314" s="1075"/>
      <c r="E314" s="1076"/>
      <c r="F314" s="63">
        <v>10</v>
      </c>
      <c r="G314" s="63" t="str">
        <f t="shared" si="8"/>
        <v>-</v>
      </c>
      <c r="I314" s="1074" t="s">
        <v>1117</v>
      </c>
      <c r="J314" s="1075"/>
      <c r="K314" s="1075"/>
      <c r="L314" s="1075"/>
      <c r="M314" s="1076"/>
      <c r="N314" s="464">
        <v>6</v>
      </c>
      <c r="O314" s="470" t="str">
        <f t="shared" si="9"/>
        <v>-</v>
      </c>
    </row>
    <row r="315" spans="1:15" s="35" customFormat="1" ht="18" hidden="1" customHeight="1" x14ac:dyDescent="0.25">
      <c r="A315" s="589" t="s">
        <v>1205</v>
      </c>
      <c r="B315" s="1084" t="s">
        <v>508</v>
      </c>
      <c r="C315" s="1085"/>
      <c r="D315" s="1085"/>
      <c r="E315" s="1086"/>
      <c r="F315" s="138" t="s">
        <v>62</v>
      </c>
      <c r="G315" s="138" t="s">
        <v>406</v>
      </c>
      <c r="I315" s="1074" t="s">
        <v>1118</v>
      </c>
      <c r="J315" s="1075"/>
      <c r="K315" s="1075"/>
      <c r="L315" s="1075"/>
      <c r="M315" s="1076"/>
      <c r="N315" s="464">
        <v>7</v>
      </c>
      <c r="O315" s="470" t="str">
        <f t="shared" si="9"/>
        <v>-</v>
      </c>
    </row>
    <row r="316" spans="1:15" s="35" customFormat="1" ht="18" hidden="1" customHeight="1" x14ac:dyDescent="0.25">
      <c r="A316" s="589" t="s">
        <v>1205</v>
      </c>
      <c r="B316" s="1071" t="s">
        <v>506</v>
      </c>
      <c r="C316" s="1072"/>
      <c r="D316" s="1072"/>
      <c r="E316" s="1073"/>
      <c r="F316" s="82">
        <v>0</v>
      </c>
      <c r="G316" s="82" t="str">
        <f t="shared" ref="G316:G328" si="10">IF(Month=$B316,$F316,"-")</f>
        <v>-</v>
      </c>
      <c r="I316" s="465" t="s">
        <v>1120</v>
      </c>
      <c r="J316" s="466"/>
      <c r="K316" s="466"/>
      <c r="L316" s="466"/>
      <c r="M316" s="467"/>
      <c r="N316" s="464">
        <v>8</v>
      </c>
      <c r="O316" s="470" t="str">
        <f t="shared" si="9"/>
        <v>-</v>
      </c>
    </row>
    <row r="317" spans="1:15" s="35" customFormat="1" ht="18" hidden="1" customHeight="1" x14ac:dyDescent="0.25">
      <c r="A317" s="589" t="s">
        <v>1205</v>
      </c>
      <c r="B317" s="1071" t="s">
        <v>210</v>
      </c>
      <c r="C317" s="1072"/>
      <c r="D317" s="1072"/>
      <c r="E317" s="1073"/>
      <c r="F317" s="82">
        <v>1</v>
      </c>
      <c r="G317" s="82" t="str">
        <f t="shared" si="10"/>
        <v>-</v>
      </c>
      <c r="I317" s="1074" t="s">
        <v>1119</v>
      </c>
      <c r="J317" s="1075"/>
      <c r="K317" s="1075"/>
      <c r="L317" s="1075"/>
      <c r="M317" s="1076"/>
      <c r="N317" s="464">
        <v>9</v>
      </c>
      <c r="O317" s="470" t="str">
        <f t="shared" si="9"/>
        <v>-</v>
      </c>
    </row>
    <row r="318" spans="1:15" s="35" customFormat="1" ht="18" hidden="1" customHeight="1" x14ac:dyDescent="0.25">
      <c r="A318" s="589" t="s">
        <v>1205</v>
      </c>
      <c r="B318" s="1071" t="s">
        <v>211</v>
      </c>
      <c r="C318" s="1072"/>
      <c r="D318" s="1072"/>
      <c r="E318" s="1073"/>
      <c r="F318" s="82">
        <v>2</v>
      </c>
      <c r="G318" s="82" t="str">
        <f t="shared" si="10"/>
        <v>-</v>
      </c>
      <c r="I318" s="1074" t="s">
        <v>1121</v>
      </c>
      <c r="J318" s="1075"/>
      <c r="K318" s="1075"/>
      <c r="L318" s="1075"/>
      <c r="M318" s="1076"/>
      <c r="N318" s="464">
        <v>10</v>
      </c>
      <c r="O318" s="470" t="str">
        <f t="shared" si="9"/>
        <v>-</v>
      </c>
    </row>
    <row r="319" spans="1:15" s="35" customFormat="1" ht="18" hidden="1" customHeight="1" x14ac:dyDescent="0.25">
      <c r="A319" s="589" t="s">
        <v>1205</v>
      </c>
      <c r="B319" s="1071" t="s">
        <v>212</v>
      </c>
      <c r="C319" s="1072"/>
      <c r="D319" s="1072"/>
      <c r="E319" s="1073"/>
      <c r="F319" s="82">
        <v>3</v>
      </c>
      <c r="G319" s="82" t="str">
        <f t="shared" si="10"/>
        <v>-</v>
      </c>
      <c r="H319" s="7"/>
      <c r="I319" s="1074" t="s">
        <v>1122</v>
      </c>
      <c r="J319" s="1075"/>
      <c r="K319" s="1075"/>
      <c r="L319" s="1075"/>
      <c r="M319" s="1076"/>
      <c r="N319" s="464">
        <v>11</v>
      </c>
      <c r="O319" s="470" t="str">
        <f t="shared" si="9"/>
        <v>-</v>
      </c>
    </row>
    <row r="320" spans="1:15" s="35" customFormat="1" ht="18" hidden="1" customHeight="1" x14ac:dyDescent="0.25">
      <c r="A320" s="589" t="s">
        <v>1205</v>
      </c>
      <c r="B320" s="1071" t="s">
        <v>213</v>
      </c>
      <c r="C320" s="1072"/>
      <c r="D320" s="1072"/>
      <c r="E320" s="1073"/>
      <c r="F320" s="82">
        <v>4</v>
      </c>
      <c r="G320" s="82" t="str">
        <f t="shared" si="10"/>
        <v>-</v>
      </c>
    </row>
    <row r="321" spans="1:7" s="35" customFormat="1" ht="18" hidden="1" customHeight="1" x14ac:dyDescent="0.25">
      <c r="A321" s="589" t="s">
        <v>1205</v>
      </c>
      <c r="B321" s="1071" t="s">
        <v>214</v>
      </c>
      <c r="C321" s="1072"/>
      <c r="D321" s="1072"/>
      <c r="E321" s="1073"/>
      <c r="F321" s="82">
        <v>5</v>
      </c>
      <c r="G321" s="82" t="str">
        <f t="shared" si="10"/>
        <v>-</v>
      </c>
    </row>
    <row r="322" spans="1:7" s="35" customFormat="1" ht="18" hidden="1" customHeight="1" x14ac:dyDescent="0.25">
      <c r="A322" s="589" t="s">
        <v>1205</v>
      </c>
      <c r="B322" s="1071" t="s">
        <v>215</v>
      </c>
      <c r="C322" s="1072"/>
      <c r="D322" s="1072"/>
      <c r="E322" s="1073"/>
      <c r="F322" s="82">
        <v>6</v>
      </c>
      <c r="G322" s="82" t="str">
        <f t="shared" si="10"/>
        <v>-</v>
      </c>
    </row>
    <row r="323" spans="1:7" s="35" customFormat="1" ht="18" hidden="1" customHeight="1" x14ac:dyDescent="0.25">
      <c r="A323" s="589" t="s">
        <v>1205</v>
      </c>
      <c r="B323" s="1071" t="s">
        <v>216</v>
      </c>
      <c r="C323" s="1072"/>
      <c r="D323" s="1072"/>
      <c r="E323" s="1073"/>
      <c r="F323" s="82">
        <v>7</v>
      </c>
      <c r="G323" s="82" t="str">
        <f t="shared" si="10"/>
        <v>-</v>
      </c>
    </row>
    <row r="324" spans="1:7" s="35" customFormat="1" ht="18" hidden="1" customHeight="1" x14ac:dyDescent="0.25">
      <c r="A324" s="589" t="s">
        <v>1205</v>
      </c>
      <c r="B324" s="1071" t="s">
        <v>217</v>
      </c>
      <c r="C324" s="1072"/>
      <c r="D324" s="1072"/>
      <c r="E324" s="1073"/>
      <c r="F324" s="82">
        <v>8</v>
      </c>
      <c r="G324" s="82" t="str">
        <f t="shared" si="10"/>
        <v>-</v>
      </c>
    </row>
    <row r="325" spans="1:7" s="35" customFormat="1" ht="18" hidden="1" customHeight="1" x14ac:dyDescent="0.25">
      <c r="A325" s="589" t="s">
        <v>1205</v>
      </c>
      <c r="B325" s="1071" t="s">
        <v>218</v>
      </c>
      <c r="C325" s="1072"/>
      <c r="D325" s="1072"/>
      <c r="E325" s="1073"/>
      <c r="F325" s="82">
        <v>9</v>
      </c>
      <c r="G325" s="82" t="str">
        <f t="shared" si="10"/>
        <v>-</v>
      </c>
    </row>
    <row r="326" spans="1:7" s="35" customFormat="1" ht="18" hidden="1" customHeight="1" x14ac:dyDescent="0.25">
      <c r="A326" s="589" t="s">
        <v>1205</v>
      </c>
      <c r="B326" s="1071" t="s">
        <v>219</v>
      </c>
      <c r="C326" s="1072"/>
      <c r="D326" s="1072"/>
      <c r="E326" s="1073"/>
      <c r="F326" s="82">
        <v>10</v>
      </c>
      <c r="G326" s="82" t="str">
        <f t="shared" si="10"/>
        <v>-</v>
      </c>
    </row>
    <row r="327" spans="1:7" s="35" customFormat="1" ht="18" hidden="1" customHeight="1" x14ac:dyDescent="0.25">
      <c r="A327" s="589" t="s">
        <v>1205</v>
      </c>
      <c r="B327" s="1071" t="s">
        <v>220</v>
      </c>
      <c r="C327" s="1072"/>
      <c r="D327" s="1072"/>
      <c r="E327" s="1073"/>
      <c r="F327" s="82">
        <v>11</v>
      </c>
      <c r="G327" s="82" t="str">
        <f t="shared" si="10"/>
        <v>-</v>
      </c>
    </row>
    <row r="328" spans="1:7" s="35" customFormat="1" ht="18" hidden="1" customHeight="1" x14ac:dyDescent="0.25">
      <c r="A328" s="589" t="s">
        <v>1205</v>
      </c>
      <c r="B328" s="1071" t="s">
        <v>221</v>
      </c>
      <c r="C328" s="1072"/>
      <c r="D328" s="1072"/>
      <c r="E328" s="1073"/>
      <c r="F328" s="82">
        <v>12</v>
      </c>
      <c r="G328" s="82" t="str">
        <f t="shared" si="10"/>
        <v>-</v>
      </c>
    </row>
    <row r="329" spans="1:7" s="35" customFormat="1" ht="18" hidden="1" customHeight="1" x14ac:dyDescent="0.25">
      <c r="A329" s="589" t="s">
        <v>1205</v>
      </c>
      <c r="B329" s="1078" t="s">
        <v>573</v>
      </c>
      <c r="C329" s="1079"/>
      <c r="D329" s="1079"/>
    </row>
    <row r="330" spans="1:7" s="35" customFormat="1" ht="18" hidden="1" customHeight="1" x14ac:dyDescent="0.25">
      <c r="A330" s="589" t="s">
        <v>1205</v>
      </c>
      <c r="B330" s="154" t="s">
        <v>178</v>
      </c>
      <c r="C330" s="430" t="str">
        <f>FirstDirection</f>
        <v>Direction 1</v>
      </c>
      <c r="D330" s="430" t="str">
        <f>SecondDirection</f>
        <v>Direction 2</v>
      </c>
    </row>
    <row r="331" spans="1:7" s="35" customFormat="1" ht="18" hidden="1" customHeight="1" x14ac:dyDescent="0.25">
      <c r="A331" s="589" t="s">
        <v>1205</v>
      </c>
      <c r="B331" s="345">
        <v>0</v>
      </c>
      <c r="C331" s="165" t="e">
        <f>IF(Overrides!$L$34=100,Overrides!L10,Overrides!I10)</f>
        <v>#N/A</v>
      </c>
      <c r="D331" s="428" t="e">
        <f>IF(Overrides!$O$34=100,Overrides!O10,Overrides!I10)</f>
        <v>#N/A</v>
      </c>
    </row>
    <row r="332" spans="1:7" s="35" customFormat="1" ht="18" hidden="1" customHeight="1" x14ac:dyDescent="0.25">
      <c r="A332" s="589" t="s">
        <v>1205</v>
      </c>
      <c r="B332" s="345">
        <f>B331+TIME(1,0,0)</f>
        <v>4.1666666666666664E-2</v>
      </c>
      <c r="C332" s="428" t="e">
        <f>IF(Overrides!$L$34=100,Overrides!L11,Overrides!I11)</f>
        <v>#N/A</v>
      </c>
      <c r="D332" s="428" t="e">
        <f>IF(Overrides!$O$34=100,Overrides!O11,Overrides!I11)</f>
        <v>#N/A</v>
      </c>
    </row>
    <row r="333" spans="1:7" s="35" customFormat="1" ht="18" hidden="1" customHeight="1" x14ac:dyDescent="0.25">
      <c r="A333" s="589" t="s">
        <v>1205</v>
      </c>
      <c r="B333" s="345">
        <f t="shared" ref="B333:B354" si="11">B332+TIME(1,0,0)</f>
        <v>8.3333333333333329E-2</v>
      </c>
      <c r="C333" s="428" t="e">
        <f>IF(Overrides!$L$34=100,Overrides!L12,Overrides!I12)</f>
        <v>#N/A</v>
      </c>
      <c r="D333" s="428" t="e">
        <f>IF(Overrides!$O$34=100,Overrides!O12,Overrides!I12)</f>
        <v>#N/A</v>
      </c>
    </row>
    <row r="334" spans="1:7" s="35" customFormat="1" ht="18" hidden="1" customHeight="1" x14ac:dyDescent="0.25">
      <c r="A334" s="589" t="s">
        <v>1205</v>
      </c>
      <c r="B334" s="345">
        <f t="shared" si="11"/>
        <v>0.125</v>
      </c>
      <c r="C334" s="428" t="e">
        <f>IF(Overrides!$L$34=100,Overrides!L13,Overrides!I13)</f>
        <v>#N/A</v>
      </c>
      <c r="D334" s="428" t="e">
        <f>IF(Overrides!$O$34=100,Overrides!O13,Overrides!I13)</f>
        <v>#N/A</v>
      </c>
    </row>
    <row r="335" spans="1:7" s="35" customFormat="1" ht="18" hidden="1" customHeight="1" x14ac:dyDescent="0.25">
      <c r="A335" s="589" t="s">
        <v>1205</v>
      </c>
      <c r="B335" s="345">
        <f t="shared" si="11"/>
        <v>0.16666666666666666</v>
      </c>
      <c r="C335" s="428" t="e">
        <f>IF(Overrides!$L$34=100,Overrides!L14,Overrides!I14)</f>
        <v>#N/A</v>
      </c>
      <c r="D335" s="428" t="e">
        <f>IF(Overrides!$O$34=100,Overrides!O14,Overrides!I14)</f>
        <v>#N/A</v>
      </c>
    </row>
    <row r="336" spans="1:7" s="35" customFormat="1" ht="18" hidden="1" customHeight="1" x14ac:dyDescent="0.25">
      <c r="A336" s="589" t="s">
        <v>1205</v>
      </c>
      <c r="B336" s="345">
        <f t="shared" si="11"/>
        <v>0.20833333333333331</v>
      </c>
      <c r="C336" s="428" t="e">
        <f>IF(Overrides!$L$34=100,Overrides!L15,Overrides!I15)</f>
        <v>#N/A</v>
      </c>
      <c r="D336" s="428" t="e">
        <f>IF(Overrides!$O$34=100,Overrides!O15,Overrides!I15)</f>
        <v>#N/A</v>
      </c>
    </row>
    <row r="337" spans="1:4" s="35" customFormat="1" ht="18" hidden="1" customHeight="1" x14ac:dyDescent="0.25">
      <c r="A337" s="589" t="s">
        <v>1205</v>
      </c>
      <c r="B337" s="345">
        <f t="shared" si="11"/>
        <v>0.24999999999999997</v>
      </c>
      <c r="C337" s="428" t="e">
        <f>IF(Overrides!$L$34=100,Overrides!L16,Overrides!I16)</f>
        <v>#N/A</v>
      </c>
      <c r="D337" s="428" t="e">
        <f>IF(Overrides!$O$34=100,Overrides!O16,Overrides!I16)</f>
        <v>#N/A</v>
      </c>
    </row>
    <row r="338" spans="1:4" s="35" customFormat="1" ht="18" hidden="1" customHeight="1" x14ac:dyDescent="0.25">
      <c r="A338" s="589" t="s">
        <v>1205</v>
      </c>
      <c r="B338" s="345">
        <f t="shared" si="11"/>
        <v>0.29166666666666663</v>
      </c>
      <c r="C338" s="428" t="e">
        <f>IF(Overrides!$L$34=100,Overrides!L17,Overrides!I17)</f>
        <v>#N/A</v>
      </c>
      <c r="D338" s="428" t="e">
        <f>IF(Overrides!$O$34=100,Overrides!O17,Overrides!I17)</f>
        <v>#N/A</v>
      </c>
    </row>
    <row r="339" spans="1:4" s="35" customFormat="1" ht="18" hidden="1" customHeight="1" x14ac:dyDescent="0.25">
      <c r="A339" s="589" t="s">
        <v>1205</v>
      </c>
      <c r="B339" s="345">
        <f t="shared" si="11"/>
        <v>0.33333333333333331</v>
      </c>
      <c r="C339" s="428" t="e">
        <f>IF(Overrides!$L$34=100,Overrides!L18,Overrides!I18)</f>
        <v>#N/A</v>
      </c>
      <c r="D339" s="428" t="e">
        <f>IF(Overrides!$O$34=100,Overrides!O18,Overrides!I18)</f>
        <v>#N/A</v>
      </c>
    </row>
    <row r="340" spans="1:4" s="35" customFormat="1" ht="18" hidden="1" customHeight="1" x14ac:dyDescent="0.25">
      <c r="A340" s="589" t="s">
        <v>1205</v>
      </c>
      <c r="B340" s="345">
        <f t="shared" si="11"/>
        <v>0.375</v>
      </c>
      <c r="C340" s="428" t="e">
        <f>IF(Overrides!$L$34=100,Overrides!L19,Overrides!I19)</f>
        <v>#N/A</v>
      </c>
      <c r="D340" s="428" t="e">
        <f>IF(Overrides!$O$34=100,Overrides!O19,Overrides!I19)</f>
        <v>#N/A</v>
      </c>
    </row>
    <row r="341" spans="1:4" s="35" customFormat="1" ht="18" hidden="1" customHeight="1" x14ac:dyDescent="0.25">
      <c r="A341" s="589" t="s">
        <v>1205</v>
      </c>
      <c r="B341" s="345">
        <f t="shared" si="11"/>
        <v>0.41666666666666669</v>
      </c>
      <c r="C341" s="428" t="e">
        <f>IF(Overrides!$L$34=100,Overrides!L20,Overrides!I20)</f>
        <v>#N/A</v>
      </c>
      <c r="D341" s="428" t="e">
        <f>IF(Overrides!$O$34=100,Overrides!O20,Overrides!I20)</f>
        <v>#N/A</v>
      </c>
    </row>
    <row r="342" spans="1:4" s="35" customFormat="1" ht="18" hidden="1" customHeight="1" x14ac:dyDescent="0.25">
      <c r="A342" s="589" t="s">
        <v>1205</v>
      </c>
      <c r="B342" s="345">
        <f t="shared" si="11"/>
        <v>0.45833333333333337</v>
      </c>
      <c r="C342" s="428" t="e">
        <f>IF(Overrides!$L$34=100,Overrides!L21,Overrides!I21)</f>
        <v>#N/A</v>
      </c>
      <c r="D342" s="428" t="e">
        <f>IF(Overrides!$O$34=100,Overrides!O21,Overrides!I21)</f>
        <v>#N/A</v>
      </c>
    </row>
    <row r="343" spans="1:4" s="35" customFormat="1" ht="18" hidden="1" customHeight="1" x14ac:dyDescent="0.25">
      <c r="A343" s="589" t="s">
        <v>1205</v>
      </c>
      <c r="B343" s="345">
        <f t="shared" si="11"/>
        <v>0.5</v>
      </c>
      <c r="C343" s="428" t="e">
        <f>IF(Overrides!$L$34=100,Overrides!L22,Overrides!I22)</f>
        <v>#N/A</v>
      </c>
      <c r="D343" s="428" t="e">
        <f>IF(Overrides!$O$34=100,Overrides!O22,Overrides!I22)</f>
        <v>#N/A</v>
      </c>
    </row>
    <row r="344" spans="1:4" s="35" customFormat="1" ht="18" hidden="1" customHeight="1" x14ac:dyDescent="0.25">
      <c r="A344" s="589" t="s">
        <v>1205</v>
      </c>
      <c r="B344" s="345">
        <f t="shared" si="11"/>
        <v>0.54166666666666663</v>
      </c>
      <c r="C344" s="428" t="e">
        <f>IF(Overrides!$L$34=100,Overrides!L23,Overrides!I23)</f>
        <v>#N/A</v>
      </c>
      <c r="D344" s="428" t="e">
        <f>IF(Overrides!$O$34=100,Overrides!O23,Overrides!I23)</f>
        <v>#N/A</v>
      </c>
    </row>
    <row r="345" spans="1:4" ht="18" hidden="1" customHeight="1" x14ac:dyDescent="0.25">
      <c r="A345" s="589" t="s">
        <v>1205</v>
      </c>
      <c r="B345" s="345">
        <f t="shared" si="11"/>
        <v>0.58333333333333326</v>
      </c>
      <c r="C345" s="428" t="e">
        <f>IF(Overrides!$L$34=100,Overrides!L24,Overrides!I24)</f>
        <v>#N/A</v>
      </c>
      <c r="D345" s="428" t="e">
        <f>IF(Overrides!$O$34=100,Overrides!O24,Overrides!I24)</f>
        <v>#N/A</v>
      </c>
    </row>
    <row r="346" spans="1:4" s="35" customFormat="1" ht="18" hidden="1" customHeight="1" x14ac:dyDescent="0.25">
      <c r="A346" s="589" t="s">
        <v>1205</v>
      </c>
      <c r="B346" s="345">
        <f t="shared" si="11"/>
        <v>0.62499999999999989</v>
      </c>
      <c r="C346" s="428" t="e">
        <f>IF(Overrides!$L$34=100,Overrides!L25,Overrides!I25)</f>
        <v>#N/A</v>
      </c>
      <c r="D346" s="428" t="e">
        <f>IF(Overrides!$O$34=100,Overrides!O25,Overrides!I25)</f>
        <v>#N/A</v>
      </c>
    </row>
    <row r="347" spans="1:4" s="35" customFormat="1" ht="18" hidden="1" customHeight="1" x14ac:dyDescent="0.25">
      <c r="A347" s="589" t="s">
        <v>1205</v>
      </c>
      <c r="B347" s="345">
        <f t="shared" si="11"/>
        <v>0.66666666666666652</v>
      </c>
      <c r="C347" s="428" t="e">
        <f>IF(Overrides!$L$34=100,Overrides!L26,Overrides!I26)</f>
        <v>#N/A</v>
      </c>
      <c r="D347" s="428" t="e">
        <f>IF(Overrides!$O$34=100,Overrides!O26,Overrides!I26)</f>
        <v>#N/A</v>
      </c>
    </row>
    <row r="348" spans="1:4" s="35" customFormat="1" ht="18" hidden="1" customHeight="1" x14ac:dyDescent="0.25">
      <c r="A348" s="589" t="s">
        <v>1205</v>
      </c>
      <c r="B348" s="345">
        <f t="shared" si="11"/>
        <v>0.70833333333333315</v>
      </c>
      <c r="C348" s="428" t="e">
        <f>IF(Overrides!$L$34=100,Overrides!L27,Overrides!I27)</f>
        <v>#N/A</v>
      </c>
      <c r="D348" s="428" t="e">
        <f>IF(Overrides!$O$34=100,Overrides!O27,Overrides!I27)</f>
        <v>#N/A</v>
      </c>
    </row>
    <row r="349" spans="1:4" s="35" customFormat="1" ht="18" hidden="1" customHeight="1" x14ac:dyDescent="0.25">
      <c r="A349" s="589" t="s">
        <v>1205</v>
      </c>
      <c r="B349" s="345">
        <f t="shared" si="11"/>
        <v>0.74999999999999978</v>
      </c>
      <c r="C349" s="428" t="e">
        <f>IF(Overrides!$L$34=100,Overrides!L28,Overrides!I28)</f>
        <v>#N/A</v>
      </c>
      <c r="D349" s="428" t="e">
        <f>IF(Overrides!$O$34=100,Overrides!O28,Overrides!I28)</f>
        <v>#N/A</v>
      </c>
    </row>
    <row r="350" spans="1:4" s="35" customFormat="1" ht="18" hidden="1" customHeight="1" x14ac:dyDescent="0.25">
      <c r="A350" s="589" t="s">
        <v>1205</v>
      </c>
      <c r="B350" s="345">
        <f t="shared" si="11"/>
        <v>0.79166666666666641</v>
      </c>
      <c r="C350" s="428" t="e">
        <f>IF(Overrides!$L$34=100,Overrides!L29,Overrides!I29)</f>
        <v>#N/A</v>
      </c>
      <c r="D350" s="428" t="e">
        <f>IF(Overrides!$O$34=100,Overrides!O29,Overrides!I29)</f>
        <v>#N/A</v>
      </c>
    </row>
    <row r="351" spans="1:4" s="35" customFormat="1" ht="18" hidden="1" customHeight="1" x14ac:dyDescent="0.25">
      <c r="A351" s="589" t="s">
        <v>1205</v>
      </c>
      <c r="B351" s="345">
        <f t="shared" si="11"/>
        <v>0.83333333333333304</v>
      </c>
      <c r="C351" s="428" t="e">
        <f>IF(Overrides!$L$34=100,Overrides!L30,Overrides!I30)</f>
        <v>#N/A</v>
      </c>
      <c r="D351" s="428" t="e">
        <f>IF(Overrides!$O$34=100,Overrides!O30,Overrides!I30)</f>
        <v>#N/A</v>
      </c>
    </row>
    <row r="352" spans="1:4" s="35" customFormat="1" ht="18" hidden="1" customHeight="1" x14ac:dyDescent="0.25">
      <c r="A352" s="589" t="s">
        <v>1205</v>
      </c>
      <c r="B352" s="345">
        <f t="shared" si="11"/>
        <v>0.87499999999999967</v>
      </c>
      <c r="C352" s="428" t="e">
        <f>IF(Overrides!$L$34=100,Overrides!L31,Overrides!I31)</f>
        <v>#N/A</v>
      </c>
      <c r="D352" s="428" t="e">
        <f>IF(Overrides!$O$34=100,Overrides!O31,Overrides!I31)</f>
        <v>#N/A</v>
      </c>
    </row>
    <row r="353" spans="1:21" s="35" customFormat="1" ht="18" hidden="1" customHeight="1" x14ac:dyDescent="0.25">
      <c r="A353" s="589" t="s">
        <v>1205</v>
      </c>
      <c r="B353" s="345">
        <f t="shared" si="11"/>
        <v>0.9166666666666663</v>
      </c>
      <c r="C353" s="428" t="e">
        <f>IF(Overrides!$L$34=100,Overrides!L32,Overrides!I32)</f>
        <v>#N/A</v>
      </c>
      <c r="D353" s="428" t="e">
        <f>IF(Overrides!$O$34=100,Overrides!O32,Overrides!I32)</f>
        <v>#N/A</v>
      </c>
    </row>
    <row r="354" spans="1:21" s="35" customFormat="1" ht="18" hidden="1" customHeight="1" x14ac:dyDescent="0.25">
      <c r="A354" s="589" t="s">
        <v>1205</v>
      </c>
      <c r="B354" s="345">
        <f t="shared" si="11"/>
        <v>0.95833333333333293</v>
      </c>
      <c r="C354" s="428" t="e">
        <f>IF(Overrides!$L$34=100,Overrides!L33,Overrides!I33)</f>
        <v>#N/A</v>
      </c>
      <c r="D354" s="428" t="e">
        <f>IF(Overrides!$O$34=100,Overrides!O33,Overrides!I33)</f>
        <v>#N/A</v>
      </c>
    </row>
    <row r="355" spans="1:21" s="35" customFormat="1" ht="18" hidden="1" customHeight="1" x14ac:dyDescent="0.25">
      <c r="A355" s="589" t="s">
        <v>1205</v>
      </c>
      <c r="B355" s="164" t="s">
        <v>301</v>
      </c>
      <c r="C355" s="346" t="e">
        <f>SUM(C331:C354)</f>
        <v>#N/A</v>
      </c>
      <c r="D355" s="346" t="e">
        <f>SUM(D331:E354)</f>
        <v>#N/A</v>
      </c>
    </row>
    <row r="356" spans="1:21" s="35" customFormat="1" ht="18" customHeight="1" x14ac:dyDescent="0.25">
      <c r="B356" s="1080" t="s">
        <v>642</v>
      </c>
      <c r="C356" s="1081"/>
      <c r="D356" s="1081"/>
      <c r="E356" s="1081"/>
    </row>
    <row r="357" spans="1:21" s="35" customFormat="1" ht="18" customHeight="1" x14ac:dyDescent="0.25">
      <c r="B357" s="510" t="e">
        <f>ROUND((WZCap1/LanesEX1)*(AvgLength1)*(1/5280),0)</f>
        <v>#N/A</v>
      </c>
      <c r="C357" s="511" t="s">
        <v>170</v>
      </c>
      <c r="D357" s="510" t="e">
        <f>ROUND((WZCap2/LanesEX2)*(AvgLength2)*(1/5280),0)</f>
        <v>#N/A</v>
      </c>
      <c r="E357" s="511" t="s">
        <v>170</v>
      </c>
      <c r="N357" s="7"/>
      <c r="O357" s="7"/>
    </row>
    <row r="358" spans="1:21" s="568" customFormat="1" ht="18" customHeight="1" x14ac:dyDescent="0.25">
      <c r="B358" s="1080" t="s">
        <v>1201</v>
      </c>
      <c r="C358" s="1081"/>
      <c r="D358" s="1081"/>
      <c r="E358" s="1081"/>
    </row>
    <row r="359" spans="1:21" s="568" customFormat="1" ht="18" customHeight="1" x14ac:dyDescent="0.25">
      <c r="B359" s="243" t="e">
        <f>IF(exFFS1&lt;=40,(WidthEX1*(exFFS1^2))/60,WidthEX1*exFFS1)</f>
        <v>#N/A</v>
      </c>
      <c r="C359" s="579" t="s">
        <v>91</v>
      </c>
      <c r="D359" s="243" t="e">
        <f>IF(exFFS2&lt;=40,(WidthEX2*(exFFS2^2))/60,WidthEX2*exFFS2)</f>
        <v>#N/A</v>
      </c>
      <c r="E359" s="579" t="s">
        <v>91</v>
      </c>
    </row>
    <row r="360" spans="1:21" s="35" customFormat="1" ht="18" hidden="1" customHeight="1" x14ac:dyDescent="0.25">
      <c r="A360" s="589" t="s">
        <v>1205</v>
      </c>
      <c r="B360" s="1077" t="s">
        <v>1143</v>
      </c>
      <c r="C360" s="1077"/>
      <c r="D360" s="1077"/>
      <c r="E360" s="1077"/>
      <c r="F360" s="1077"/>
      <c r="G360" s="1077"/>
      <c r="H360" s="1077"/>
      <c r="N360" s="7"/>
      <c r="O360" s="7"/>
    </row>
    <row r="361" spans="1:21" s="35" customFormat="1" ht="18" hidden="1" customHeight="1" x14ac:dyDescent="0.25">
      <c r="A361" s="589" t="s">
        <v>1205</v>
      </c>
      <c r="B361" s="847" t="e">
        <f>IF(SUM(Input!AH8:AH190)&gt;0,"~!~   Warning: Input tab contains errors. Values shown may not be correct.   ~!~","")</f>
        <v>#N/A</v>
      </c>
      <c r="C361" s="847"/>
      <c r="D361" s="847"/>
      <c r="E361" s="847"/>
      <c r="F361" s="847"/>
      <c r="G361" s="847"/>
      <c r="H361" s="847"/>
      <c r="N361" s="7"/>
      <c r="O361" s="7"/>
    </row>
    <row r="362" spans="1:21" s="35" customFormat="1" ht="18" hidden="1" customHeight="1" x14ac:dyDescent="0.25">
      <c r="A362" s="589" t="s">
        <v>1205</v>
      </c>
      <c r="B362" s="1070" t="s">
        <v>1167</v>
      </c>
      <c r="C362" s="1070"/>
      <c r="D362" s="1070"/>
      <c r="E362" s="1070"/>
      <c r="N362" s="7"/>
      <c r="O362" s="7"/>
    </row>
    <row r="363" spans="1:21" s="35" customFormat="1" ht="18" hidden="1" customHeight="1" x14ac:dyDescent="0.25">
      <c r="A363" s="589" t="s">
        <v>1205</v>
      </c>
      <c r="B363" s="542">
        <v>1</v>
      </c>
      <c r="C363" s="847" t="str">
        <f>IF(ISBLANK(Input!C86),"Primary Detour",Input!C86)</f>
        <v>Primary Detour</v>
      </c>
      <c r="D363" s="847"/>
      <c r="E363" s="847"/>
    </row>
    <row r="364" spans="1:21" s="35" customFormat="1" ht="18" hidden="1" customHeight="1" x14ac:dyDescent="0.25">
      <c r="A364" s="589" t="s">
        <v>1205</v>
      </c>
      <c r="B364" s="542">
        <v>2</v>
      </c>
      <c r="C364" s="847" t="str">
        <f>IF(ISBLANK(Input!C121),"Primary Detour",Input!C121)</f>
        <v>Secondary Detour</v>
      </c>
      <c r="D364" s="847"/>
      <c r="E364" s="847"/>
    </row>
    <row r="365" spans="1:21" s="35" customFormat="1" ht="18" hidden="1" customHeight="1" x14ac:dyDescent="0.25">
      <c r="A365" s="589" t="s">
        <v>1205</v>
      </c>
      <c r="B365" s="542">
        <v>3</v>
      </c>
      <c r="C365" s="847" t="str">
        <f>IF(ISBLANK(Input!C156),"Primary Detour",Input!C156)</f>
        <v>Tertiary Detour</v>
      </c>
      <c r="D365" s="847"/>
      <c r="E365" s="847"/>
    </row>
    <row r="366" spans="1:21" s="35" customFormat="1" ht="18" customHeight="1" x14ac:dyDescent="0.25"/>
    <row r="367" spans="1:21" ht="18" customHeight="1" x14ac:dyDescent="0.25">
      <c r="A367" s="35"/>
      <c r="F367" s="35"/>
      <c r="G367" s="35"/>
      <c r="N367" s="35"/>
      <c r="O367" s="35"/>
      <c r="P367" s="35"/>
      <c r="Q367" s="35"/>
      <c r="R367" s="35"/>
      <c r="S367" s="35"/>
      <c r="T367" s="35"/>
      <c r="U367" s="35"/>
    </row>
    <row r="368" spans="1:21" s="35" customFormat="1" ht="18" customHeight="1" x14ac:dyDescent="0.25"/>
    <row r="369" spans="11:11" s="35" customFormat="1" ht="18" customHeight="1" x14ac:dyDescent="0.25"/>
    <row r="370" spans="11:11" s="35" customFormat="1" ht="18" customHeight="1" x14ac:dyDescent="0.25"/>
    <row r="371" spans="11:11" s="35" customFormat="1" ht="18" customHeight="1" x14ac:dyDescent="0.25"/>
    <row r="372" spans="11:11" s="35" customFormat="1" ht="18" customHeight="1" x14ac:dyDescent="0.25"/>
    <row r="373" spans="11:11" s="35" customFormat="1" ht="18" customHeight="1" x14ac:dyDescent="0.25"/>
    <row r="374" spans="11:11" s="35" customFormat="1" ht="18" customHeight="1" x14ac:dyDescent="0.25"/>
    <row r="375" spans="11:11" s="35" customFormat="1" ht="18" customHeight="1" x14ac:dyDescent="0.25"/>
    <row r="376" spans="11:11" s="35" customFormat="1" ht="18" customHeight="1" x14ac:dyDescent="0.25"/>
    <row r="377" spans="11:11" s="35" customFormat="1" ht="18" customHeight="1" x14ac:dyDescent="0.25"/>
    <row r="378" spans="11:11" s="35" customFormat="1" ht="18" customHeight="1" x14ac:dyDescent="0.25"/>
    <row r="379" spans="11:11" x14ac:dyDescent="0.25">
      <c r="K379" s="35"/>
    </row>
    <row r="380" spans="11:11" x14ac:dyDescent="0.25">
      <c r="K380" s="35"/>
    </row>
  </sheetData>
  <sheetProtection algorithmName="SHA-512" hashValue="bvkV5ZoTq4tYIodKzl2lrpSsBOU/zxE5yVE5HEbuRhweXDBdq3fTXHSef4LmGT1jysgLvK1koZKOa4lrz9za2w==" saltValue="SKBlvBaZRR0P3yxObhyrqQ==" spinCount="100000" sheet="1" objects="1" scenarios="1"/>
  <mergeCells count="205">
    <mergeCell ref="B358:E358"/>
    <mergeCell ref="B320:E320"/>
    <mergeCell ref="B321:E321"/>
    <mergeCell ref="B316:E316"/>
    <mergeCell ref="B315:E315"/>
    <mergeCell ref="B327:E327"/>
    <mergeCell ref="B328:E328"/>
    <mergeCell ref="B322:E322"/>
    <mergeCell ref="B323:E323"/>
    <mergeCell ref="B2:P2"/>
    <mergeCell ref="H54:J54"/>
    <mergeCell ref="K54:M54"/>
    <mergeCell ref="H69:J69"/>
    <mergeCell ref="K69:M69"/>
    <mergeCell ref="B11:E11"/>
    <mergeCell ref="B10:E10"/>
    <mergeCell ref="B9:E9"/>
    <mergeCell ref="F18:H18"/>
    <mergeCell ref="F22:H22"/>
    <mergeCell ref="F23:H23"/>
    <mergeCell ref="F24:H24"/>
    <mergeCell ref="F25:H25"/>
    <mergeCell ref="K26:M26"/>
    <mergeCell ref="H26:J26"/>
    <mergeCell ref="B5:E5"/>
    <mergeCell ref="B3:P3"/>
    <mergeCell ref="F5:H5"/>
    <mergeCell ref="B8:E8"/>
    <mergeCell ref="B14:E14"/>
    <mergeCell ref="B13:E13"/>
    <mergeCell ref="F8:H8"/>
    <mergeCell ref="F9:H9"/>
    <mergeCell ref="B17:E17"/>
    <mergeCell ref="B15:E15"/>
    <mergeCell ref="B7:E7"/>
    <mergeCell ref="F7:H7"/>
    <mergeCell ref="B6:E6"/>
    <mergeCell ref="F6:H6"/>
    <mergeCell ref="B312:E312"/>
    <mergeCell ref="B207:M207"/>
    <mergeCell ref="B199:M199"/>
    <mergeCell ref="K93:M93"/>
    <mergeCell ref="H93:J93"/>
    <mergeCell ref="B311:E311"/>
    <mergeCell ref="B308:E308"/>
    <mergeCell ref="H221:I221"/>
    <mergeCell ref="J221:K221"/>
    <mergeCell ref="H253:I253"/>
    <mergeCell ref="J253:K253"/>
    <mergeCell ref="J217:K217"/>
    <mergeCell ref="J192:O192"/>
    <mergeCell ref="J184:N184"/>
    <mergeCell ref="H219:I219"/>
    <mergeCell ref="H234:I234"/>
    <mergeCell ref="J234:K234"/>
    <mergeCell ref="H235:I235"/>
    <mergeCell ref="J235:K235"/>
    <mergeCell ref="H236:I236"/>
    <mergeCell ref="J236:K236"/>
    <mergeCell ref="F20:H20"/>
    <mergeCell ref="H217:I217"/>
    <mergeCell ref="H216:I216"/>
    <mergeCell ref="B23:E23"/>
    <mergeCell ref="J223:K223"/>
    <mergeCell ref="J224:K224"/>
    <mergeCell ref="J218:K218"/>
    <mergeCell ref="B22:E22"/>
    <mergeCell ref="F17:H17"/>
    <mergeCell ref="F10:H10"/>
    <mergeCell ref="F11:H11"/>
    <mergeCell ref="F13:H13"/>
    <mergeCell ref="B12:E12"/>
    <mergeCell ref="F12:H12"/>
    <mergeCell ref="F70:F71"/>
    <mergeCell ref="D192:I192"/>
    <mergeCell ref="B314:E314"/>
    <mergeCell ref="B307:E307"/>
    <mergeCell ref="B306:E306"/>
    <mergeCell ref="H224:I224"/>
    <mergeCell ref="F14:H14"/>
    <mergeCell ref="F15:H15"/>
    <mergeCell ref="B24:E24"/>
    <mergeCell ref="B25:E25"/>
    <mergeCell ref="B16:E16"/>
    <mergeCell ref="F16:H16"/>
    <mergeCell ref="B21:E21"/>
    <mergeCell ref="F21:H21"/>
    <mergeCell ref="H218:I218"/>
    <mergeCell ref="B19:E19"/>
    <mergeCell ref="F19:H19"/>
    <mergeCell ref="B20:E20"/>
    <mergeCell ref="B18:E18"/>
    <mergeCell ref="J216:K216"/>
    <mergeCell ref="D184:H184"/>
    <mergeCell ref="J219:K219"/>
    <mergeCell ref="H230:I230"/>
    <mergeCell ref="J230:K230"/>
    <mergeCell ref="H231:I231"/>
    <mergeCell ref="J231:K231"/>
    <mergeCell ref="H232:I232"/>
    <mergeCell ref="J232:K232"/>
    <mergeCell ref="H226:I226"/>
    <mergeCell ref="J226:K226"/>
    <mergeCell ref="H227:I227"/>
    <mergeCell ref="J227:K227"/>
    <mergeCell ref="H228:I228"/>
    <mergeCell ref="J228:K228"/>
    <mergeCell ref="H222:I222"/>
    <mergeCell ref="J222:K222"/>
    <mergeCell ref="H223:I223"/>
    <mergeCell ref="H238:I238"/>
    <mergeCell ref="J238:K238"/>
    <mergeCell ref="H239:I239"/>
    <mergeCell ref="J239:K239"/>
    <mergeCell ref="H244:I244"/>
    <mergeCell ref="J244:K244"/>
    <mergeCell ref="H240:I240"/>
    <mergeCell ref="J240:K240"/>
    <mergeCell ref="H241:I241"/>
    <mergeCell ref="J241:K241"/>
    <mergeCell ref="H242:I242"/>
    <mergeCell ref="J242:K242"/>
    <mergeCell ref="H256:I256"/>
    <mergeCell ref="J256:K256"/>
    <mergeCell ref="H257:I257"/>
    <mergeCell ref="J257:K257"/>
    <mergeCell ref="H258:I258"/>
    <mergeCell ref="J258:K258"/>
    <mergeCell ref="H260:I260"/>
    <mergeCell ref="H245:I245"/>
    <mergeCell ref="J245:K245"/>
    <mergeCell ref="H246:I246"/>
    <mergeCell ref="J246:K246"/>
    <mergeCell ref="H247:I247"/>
    <mergeCell ref="J247:K247"/>
    <mergeCell ref="H252:I252"/>
    <mergeCell ref="J252:K252"/>
    <mergeCell ref="H255:I255"/>
    <mergeCell ref="J255:K255"/>
    <mergeCell ref="H248:I248"/>
    <mergeCell ref="J248:K248"/>
    <mergeCell ref="H250:I250"/>
    <mergeCell ref="J250:K250"/>
    <mergeCell ref="H251:I251"/>
    <mergeCell ref="J251:K251"/>
    <mergeCell ref="J260:K260"/>
    <mergeCell ref="O290:O291"/>
    <mergeCell ref="H266:I266"/>
    <mergeCell ref="J266:K266"/>
    <mergeCell ref="H267:I267"/>
    <mergeCell ref="J267:K267"/>
    <mergeCell ref="H268:I268"/>
    <mergeCell ref="J268:K268"/>
    <mergeCell ref="H273:I273"/>
    <mergeCell ref="J273:K273"/>
    <mergeCell ref="H270:I270"/>
    <mergeCell ref="J270:K270"/>
    <mergeCell ref="H271:I271"/>
    <mergeCell ref="J271:K271"/>
    <mergeCell ref="H272:I272"/>
    <mergeCell ref="J272:K272"/>
    <mergeCell ref="J261:K261"/>
    <mergeCell ref="H263:I263"/>
    <mergeCell ref="J263:K263"/>
    <mergeCell ref="H262:I262"/>
    <mergeCell ref="J262:K262"/>
    <mergeCell ref="H265:I265"/>
    <mergeCell ref="J265:K265"/>
    <mergeCell ref="B309:E309"/>
    <mergeCell ref="B310:E310"/>
    <mergeCell ref="I306:M306"/>
    <mergeCell ref="I305:M305"/>
    <mergeCell ref="I304:M304"/>
    <mergeCell ref="I303:M303"/>
    <mergeCell ref="I309:M309"/>
    <mergeCell ref="I308:M308"/>
    <mergeCell ref="I307:M307"/>
    <mergeCell ref="B305:E305"/>
    <mergeCell ref="I310:M310"/>
    <mergeCell ref="B304:E304"/>
    <mergeCell ref="B303:E303"/>
    <mergeCell ref="C365:E365"/>
    <mergeCell ref="C364:E364"/>
    <mergeCell ref="C363:E363"/>
    <mergeCell ref="B362:E362"/>
    <mergeCell ref="B324:E324"/>
    <mergeCell ref="B325:E325"/>
    <mergeCell ref="B326:E326"/>
    <mergeCell ref="B313:E313"/>
    <mergeCell ref="H261:I261"/>
    <mergeCell ref="B360:H360"/>
    <mergeCell ref="B361:H361"/>
    <mergeCell ref="I314:M314"/>
    <mergeCell ref="I319:M319"/>
    <mergeCell ref="I311:M311"/>
    <mergeCell ref="I312:M312"/>
    <mergeCell ref="I313:M313"/>
    <mergeCell ref="I315:M315"/>
    <mergeCell ref="I317:M317"/>
    <mergeCell ref="I318:M318"/>
    <mergeCell ref="B329:D329"/>
    <mergeCell ref="B317:E317"/>
    <mergeCell ref="B356:E356"/>
    <mergeCell ref="B318:E318"/>
    <mergeCell ref="B319:E3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D49D6C089DD64994CBFA6F364C1649" ma:contentTypeVersion="1" ma:contentTypeDescription="Create a new document." ma:contentTypeScope="" ma:versionID="f4c0726e3f514a62bd886217f0dc55bb">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4B9779-E053-476C-AACD-205E9D3843DD}"/>
</file>

<file path=customXml/itemProps2.xml><?xml version="1.0" encoding="utf-8"?>
<ds:datastoreItem xmlns:ds="http://schemas.openxmlformats.org/officeDocument/2006/customXml" ds:itemID="{0431CC8B-8E74-4357-824A-7D4958767C96}"/>
</file>

<file path=customXml/itemProps3.xml><?xml version="1.0" encoding="utf-8"?>
<ds:datastoreItem xmlns:ds="http://schemas.openxmlformats.org/officeDocument/2006/customXml" ds:itemID="{7B1BD76D-667B-440F-BE35-4B025D387C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457</vt:i4>
      </vt:variant>
    </vt:vector>
  </HeadingPairs>
  <TitlesOfParts>
    <vt:vector size="472" baseType="lpstr">
      <vt:lpstr>Instructions</vt:lpstr>
      <vt:lpstr>Input</vt:lpstr>
      <vt:lpstr>Overrides</vt:lpstr>
      <vt:lpstr>Report</vt:lpstr>
      <vt:lpstr>Summary</vt:lpstr>
      <vt:lpstr>Lists</vt:lpstr>
      <vt:lpstr>Tables</vt:lpstr>
      <vt:lpstr>References</vt:lpstr>
      <vt:lpstr>Values</vt:lpstr>
      <vt:lpstr>Volumes</vt:lpstr>
      <vt:lpstr>Delay</vt:lpstr>
      <vt:lpstr>Queuing</vt:lpstr>
      <vt:lpstr>Costs</vt:lpstr>
      <vt:lpstr>Calculations</vt:lpstr>
      <vt:lpstr>Updater</vt:lpstr>
      <vt:lpstr>AddDelAll1</vt:lpstr>
      <vt:lpstr>AddDelAll2</vt:lpstr>
      <vt:lpstr>AddDelCT1</vt:lpstr>
      <vt:lpstr>AddDelCT2</vt:lpstr>
      <vt:lpstr>AddDelPC1</vt:lpstr>
      <vt:lpstr>AddDelPC2</vt:lpstr>
      <vt:lpstr>AddDelRV1</vt:lpstr>
      <vt:lpstr>AddDelRV2</vt:lpstr>
      <vt:lpstr>AddDelSU1</vt:lpstr>
      <vt:lpstr>AddDelSU2</vt:lpstr>
      <vt:lpstr>AddDistD11</vt:lpstr>
      <vt:lpstr>AddDistD12</vt:lpstr>
      <vt:lpstr>AddDistD21</vt:lpstr>
      <vt:lpstr>AddDistD22</vt:lpstr>
      <vt:lpstr>AddDistD31</vt:lpstr>
      <vt:lpstr>AddDistD32</vt:lpstr>
      <vt:lpstr>AddTimeD11</vt:lpstr>
      <vt:lpstr>AddTimeD12</vt:lpstr>
      <vt:lpstr>AddTimeD21</vt:lpstr>
      <vt:lpstr>AddTimeD22</vt:lpstr>
      <vt:lpstr>AddTimeD31</vt:lpstr>
      <vt:lpstr>AddTimeD32</vt:lpstr>
      <vt:lpstr>AddTimeFCT1</vt:lpstr>
      <vt:lpstr>AddTimeFCT2</vt:lpstr>
      <vt:lpstr>AddTimeFPC1</vt:lpstr>
      <vt:lpstr>AddTimeFPC2</vt:lpstr>
      <vt:lpstr>AddTimeFRV1</vt:lpstr>
      <vt:lpstr>AddTimeFRV2</vt:lpstr>
      <vt:lpstr>AddTimeFSU1</vt:lpstr>
      <vt:lpstr>AddTimeFSU2</vt:lpstr>
      <vt:lpstr>AddTimeTravel1</vt:lpstr>
      <vt:lpstr>AddTimeTravel2</vt:lpstr>
      <vt:lpstr>AddTimeWZCT1</vt:lpstr>
      <vt:lpstr>AddTimeWZCT2</vt:lpstr>
      <vt:lpstr>AddTimeWZPC1</vt:lpstr>
      <vt:lpstr>AddTimeWZPC2</vt:lpstr>
      <vt:lpstr>AddTimeWZRV1</vt:lpstr>
      <vt:lpstr>AddTimeWZRV2</vt:lpstr>
      <vt:lpstr>AddTimeWZSU1</vt:lpstr>
      <vt:lpstr>AddTimeWZSU2</vt:lpstr>
      <vt:lpstr>ADTCT1</vt:lpstr>
      <vt:lpstr>ADTCT1d1</vt:lpstr>
      <vt:lpstr>ADTCT1d2</vt:lpstr>
      <vt:lpstr>ADTCT1d3</vt:lpstr>
      <vt:lpstr>ADTCT1wz</vt:lpstr>
      <vt:lpstr>ADTCT2</vt:lpstr>
      <vt:lpstr>ADTCT2d1</vt:lpstr>
      <vt:lpstr>ADTCT2d2</vt:lpstr>
      <vt:lpstr>ADTCT2d3</vt:lpstr>
      <vt:lpstr>ADTCT2wz</vt:lpstr>
      <vt:lpstr>ADTex1</vt:lpstr>
      <vt:lpstr>ADTex2</vt:lpstr>
      <vt:lpstr>ADTexr1</vt:lpstr>
      <vt:lpstr>ADTexr2</vt:lpstr>
      <vt:lpstr>ADTexrTOT</vt:lpstr>
      <vt:lpstr>ADTexTOT</vt:lpstr>
      <vt:lpstr>ADTPC1</vt:lpstr>
      <vt:lpstr>ADTPC1d1</vt:lpstr>
      <vt:lpstr>ADTPC1d2</vt:lpstr>
      <vt:lpstr>ADTPC1d3</vt:lpstr>
      <vt:lpstr>ADTPC1wz</vt:lpstr>
      <vt:lpstr>ADTPC2</vt:lpstr>
      <vt:lpstr>ADTPC2d1</vt:lpstr>
      <vt:lpstr>ADTPC2d2</vt:lpstr>
      <vt:lpstr>ADTPC2d3</vt:lpstr>
      <vt:lpstr>ADTPC2wz</vt:lpstr>
      <vt:lpstr>ADTPCE1</vt:lpstr>
      <vt:lpstr>ADTPCE1d1</vt:lpstr>
      <vt:lpstr>ADTPCE1d2</vt:lpstr>
      <vt:lpstr>ADTPCE1d3</vt:lpstr>
      <vt:lpstr>ADTPCE1wz</vt:lpstr>
      <vt:lpstr>ADTPCE2</vt:lpstr>
      <vt:lpstr>ADTPCE2d1</vt:lpstr>
      <vt:lpstr>ADTPCE2d2</vt:lpstr>
      <vt:lpstr>ADTPCE2d3</vt:lpstr>
      <vt:lpstr>ADTPCE2wz</vt:lpstr>
      <vt:lpstr>ADTRV1</vt:lpstr>
      <vt:lpstr>ADTRV1d1</vt:lpstr>
      <vt:lpstr>ADTRV1d2</vt:lpstr>
      <vt:lpstr>ADTRV1d3</vt:lpstr>
      <vt:lpstr>ADTRV1wz</vt:lpstr>
      <vt:lpstr>ADTRV2</vt:lpstr>
      <vt:lpstr>ADTRV2d1</vt:lpstr>
      <vt:lpstr>ADTRV2d2</vt:lpstr>
      <vt:lpstr>ADTRV2d3</vt:lpstr>
      <vt:lpstr>ADTRV2wz</vt:lpstr>
      <vt:lpstr>ADTSU1</vt:lpstr>
      <vt:lpstr>ADTSU1d1</vt:lpstr>
      <vt:lpstr>ADTSU1d2</vt:lpstr>
      <vt:lpstr>ADTSU1d3</vt:lpstr>
      <vt:lpstr>ADTSU1wz</vt:lpstr>
      <vt:lpstr>ADTSU2</vt:lpstr>
      <vt:lpstr>ADTSU2d1</vt:lpstr>
      <vt:lpstr>ADTSU2d2</vt:lpstr>
      <vt:lpstr>ADTSU2d3</vt:lpstr>
      <vt:lpstr>ADTSU2wz</vt:lpstr>
      <vt:lpstr>ADTtot1</vt:lpstr>
      <vt:lpstr>ADTtot1d1</vt:lpstr>
      <vt:lpstr>ADTtot1d2</vt:lpstr>
      <vt:lpstr>ADTtot1d3</vt:lpstr>
      <vt:lpstr>ADTtot1wz</vt:lpstr>
      <vt:lpstr>ADTtot2</vt:lpstr>
      <vt:lpstr>ADTtot2d1</vt:lpstr>
      <vt:lpstr>ADTtot2d2</vt:lpstr>
      <vt:lpstr>ADTtot2d3</vt:lpstr>
      <vt:lpstr>ADTtot2wz</vt:lpstr>
      <vt:lpstr>APDentry1</vt:lpstr>
      <vt:lpstr>APDentry2</vt:lpstr>
      <vt:lpstr>APDFactor1</vt:lpstr>
      <vt:lpstr>APDFactor2</vt:lpstr>
      <vt:lpstr>AvgLength1</vt:lpstr>
      <vt:lpstr>AvgLength2</vt:lpstr>
      <vt:lpstr>AvgQStop1</vt:lpstr>
      <vt:lpstr>AvgQStop2</vt:lpstr>
      <vt:lpstr>AVOct</vt:lpstr>
      <vt:lpstr>AVOctDefault</vt:lpstr>
      <vt:lpstr>AVOctOverride</vt:lpstr>
      <vt:lpstr>AVOpcb</vt:lpstr>
      <vt:lpstr>AVOpcbDefault</vt:lpstr>
      <vt:lpstr>AVOpcbOverride</vt:lpstr>
      <vt:lpstr>AVOpcp</vt:lpstr>
      <vt:lpstr>AVOpcpDefault</vt:lpstr>
      <vt:lpstr>AVOpcpOverride</vt:lpstr>
      <vt:lpstr>AVOsu</vt:lpstr>
      <vt:lpstr>AVOsuDefault</vt:lpstr>
      <vt:lpstr>AVOsuOverride</vt:lpstr>
      <vt:lpstr>BaseYear</vt:lpstr>
      <vt:lpstr>BFFSex1</vt:lpstr>
      <vt:lpstr>BFFSex2</vt:lpstr>
      <vt:lpstr>BWZC1</vt:lpstr>
      <vt:lpstr>BWZC2</vt:lpstr>
      <vt:lpstr>Capacity1</vt:lpstr>
      <vt:lpstr>Capacity2</vt:lpstr>
      <vt:lpstr>CapacityEx1</vt:lpstr>
      <vt:lpstr>CapacityEx2</vt:lpstr>
      <vt:lpstr>Classification</vt:lpstr>
      <vt:lpstr>CodeClassification</vt:lpstr>
      <vt:lpstr>CodeHCM</vt:lpstr>
      <vt:lpstr>CodeMonth</vt:lpstr>
      <vt:lpstr>CodeTPG</vt:lpstr>
      <vt:lpstr>Commodities</vt:lpstr>
      <vt:lpstr>ConstructionYear</vt:lpstr>
      <vt:lpstr>ContractAmount</vt:lpstr>
      <vt:lpstr>County</vt:lpstr>
      <vt:lpstr>CPCTd11</vt:lpstr>
      <vt:lpstr>CPCTd12</vt:lpstr>
      <vt:lpstr>CPCTd21</vt:lpstr>
      <vt:lpstr>CPCTd22</vt:lpstr>
      <vt:lpstr>CPCTd31</vt:lpstr>
      <vt:lpstr>CPCTd32</vt:lpstr>
      <vt:lpstr>CPCTf1</vt:lpstr>
      <vt:lpstr>CPCTf2</vt:lpstr>
      <vt:lpstr>CPCTq1</vt:lpstr>
      <vt:lpstr>CPCTq2</vt:lpstr>
      <vt:lpstr>CPCTwz1</vt:lpstr>
      <vt:lpstr>CPCTwz2</vt:lpstr>
      <vt:lpstr>CPHct</vt:lpstr>
      <vt:lpstr>CPHpcb</vt:lpstr>
      <vt:lpstr>CPHpcp</vt:lpstr>
      <vt:lpstr>CPHsu</vt:lpstr>
      <vt:lpstr>CPPCd11</vt:lpstr>
      <vt:lpstr>CPPCd12</vt:lpstr>
      <vt:lpstr>CPPCd21</vt:lpstr>
      <vt:lpstr>CPPCd22</vt:lpstr>
      <vt:lpstr>CPPCd31</vt:lpstr>
      <vt:lpstr>CPPCd32</vt:lpstr>
      <vt:lpstr>CPPCf1</vt:lpstr>
      <vt:lpstr>CPPCf2</vt:lpstr>
      <vt:lpstr>CPPCq1</vt:lpstr>
      <vt:lpstr>CPPCq2</vt:lpstr>
      <vt:lpstr>CPPCwz1</vt:lpstr>
      <vt:lpstr>CPPCwz2</vt:lpstr>
      <vt:lpstr>CPRVd11</vt:lpstr>
      <vt:lpstr>CPRVd12</vt:lpstr>
      <vt:lpstr>CPRVd21</vt:lpstr>
      <vt:lpstr>CPRVd22</vt:lpstr>
      <vt:lpstr>CPRVd31</vt:lpstr>
      <vt:lpstr>CPRVd32</vt:lpstr>
      <vt:lpstr>CPRVf1</vt:lpstr>
      <vt:lpstr>CPRVf2</vt:lpstr>
      <vt:lpstr>CPRVq1</vt:lpstr>
      <vt:lpstr>CPRVq2</vt:lpstr>
      <vt:lpstr>CPRVwz1</vt:lpstr>
      <vt:lpstr>CPRVwz2</vt:lpstr>
      <vt:lpstr>CPSUd11</vt:lpstr>
      <vt:lpstr>CPSUd12</vt:lpstr>
      <vt:lpstr>CPSUd21</vt:lpstr>
      <vt:lpstr>CPSUd22</vt:lpstr>
      <vt:lpstr>CPSUd31</vt:lpstr>
      <vt:lpstr>CPSUd32</vt:lpstr>
      <vt:lpstr>CPSUf1</vt:lpstr>
      <vt:lpstr>CPSUf2</vt:lpstr>
      <vt:lpstr>CPSUq1</vt:lpstr>
      <vt:lpstr>CPSUq2</vt:lpstr>
      <vt:lpstr>CPSUwz1</vt:lpstr>
      <vt:lpstr>CPSUwz2</vt:lpstr>
      <vt:lpstr>Cycle</vt:lpstr>
      <vt:lpstr>D1ct1</vt:lpstr>
      <vt:lpstr>D1ct2</vt:lpstr>
      <vt:lpstr>D1length1</vt:lpstr>
      <vt:lpstr>D1length2</vt:lpstr>
      <vt:lpstr>D1pc1</vt:lpstr>
      <vt:lpstr>D1pc2</vt:lpstr>
      <vt:lpstr>D1rv1</vt:lpstr>
      <vt:lpstr>D1rv2</vt:lpstr>
      <vt:lpstr>D1su1</vt:lpstr>
      <vt:lpstr>D1su2</vt:lpstr>
      <vt:lpstr>D1time1</vt:lpstr>
      <vt:lpstr>D1time2</vt:lpstr>
      <vt:lpstr>D1tot1</vt:lpstr>
      <vt:lpstr>D1tot2</vt:lpstr>
      <vt:lpstr>D2ct1</vt:lpstr>
      <vt:lpstr>D2ct2</vt:lpstr>
      <vt:lpstr>D2length1</vt:lpstr>
      <vt:lpstr>D2length2</vt:lpstr>
      <vt:lpstr>D2pc1</vt:lpstr>
      <vt:lpstr>D2pc2</vt:lpstr>
      <vt:lpstr>D2rv1</vt:lpstr>
      <vt:lpstr>D2rv2</vt:lpstr>
      <vt:lpstr>D2su1</vt:lpstr>
      <vt:lpstr>D2su2</vt:lpstr>
      <vt:lpstr>D2time1</vt:lpstr>
      <vt:lpstr>D2time2</vt:lpstr>
      <vt:lpstr>D2tot1</vt:lpstr>
      <vt:lpstr>D2tot2</vt:lpstr>
      <vt:lpstr>D3ct1</vt:lpstr>
      <vt:lpstr>D3ct2</vt:lpstr>
      <vt:lpstr>D3length1</vt:lpstr>
      <vt:lpstr>D3length2</vt:lpstr>
      <vt:lpstr>D3pc1</vt:lpstr>
      <vt:lpstr>D3pc2</vt:lpstr>
      <vt:lpstr>D3rv1</vt:lpstr>
      <vt:lpstr>D3rv2</vt:lpstr>
      <vt:lpstr>D3su1</vt:lpstr>
      <vt:lpstr>D3su2</vt:lpstr>
      <vt:lpstr>D3time1</vt:lpstr>
      <vt:lpstr>D3time2</vt:lpstr>
      <vt:lpstr>D3tot1</vt:lpstr>
      <vt:lpstr>D3tot2</vt:lpstr>
      <vt:lpstr>DepCT</vt:lpstr>
      <vt:lpstr>DepPC</vt:lpstr>
      <vt:lpstr>DepRV</vt:lpstr>
      <vt:lpstr>DepSU</vt:lpstr>
      <vt:lpstr>Diesel</vt:lpstr>
      <vt:lpstr>District</vt:lpstr>
      <vt:lpstr>Duration1</vt:lpstr>
      <vt:lpstr>Duration2</vt:lpstr>
      <vt:lpstr>ErrorWarning</vt:lpstr>
      <vt:lpstr>exFFS1</vt:lpstr>
      <vt:lpstr>exFFS2</vt:lpstr>
      <vt:lpstr>f</vt:lpstr>
      <vt:lpstr>fHVADJ1</vt:lpstr>
      <vt:lpstr>fHVADJ2</vt:lpstr>
      <vt:lpstr>fHVrv</vt:lpstr>
      <vt:lpstr>FHVsuct</vt:lpstr>
      <vt:lpstr>FirstDetourName</vt:lpstr>
      <vt:lpstr>FirstDetourOption</vt:lpstr>
      <vt:lpstr>FirstDirection</vt:lpstr>
      <vt:lpstr>FreightCostCT</vt:lpstr>
      <vt:lpstr>FreightCostSU</vt:lpstr>
      <vt:lpstr>Gasoline</vt:lpstr>
      <vt:lpstr>HCMType</vt:lpstr>
      <vt:lpstr>HourlyCostCT</vt:lpstr>
      <vt:lpstr>HourlyCostPC</vt:lpstr>
      <vt:lpstr>HourlyCostRV</vt:lpstr>
      <vt:lpstr>HourlyCostSU</vt:lpstr>
      <vt:lpstr>HourlyDiscount</vt:lpstr>
      <vt:lpstr>HourlyFactor</vt:lpstr>
      <vt:lpstr>HoursWZ1</vt:lpstr>
      <vt:lpstr>HoursWZ2</vt:lpstr>
      <vt:lpstr>IdlingAutos</vt:lpstr>
      <vt:lpstr>IdlingCT</vt:lpstr>
      <vt:lpstr>IdlingPC</vt:lpstr>
      <vt:lpstr>IdlingRV</vt:lpstr>
      <vt:lpstr>IdlingSU</vt:lpstr>
      <vt:lpstr>IdlingTrucks</vt:lpstr>
      <vt:lpstr>InflationTotal</vt:lpstr>
      <vt:lpstr>InflationYearly</vt:lpstr>
      <vt:lpstr>Intensity1</vt:lpstr>
      <vt:lpstr>Intensity2</vt:lpstr>
      <vt:lpstr>LanesEX</vt:lpstr>
      <vt:lpstr>LanesEX1</vt:lpstr>
      <vt:lpstr>LanesEX2</vt:lpstr>
      <vt:lpstr>LanesWZ1</vt:lpstr>
      <vt:lpstr>LanesWZ2</vt:lpstr>
      <vt:lpstr>LCFactor1</vt:lpstr>
      <vt:lpstr>LCFactor2</vt:lpstr>
      <vt:lpstr>LendingRate</vt:lpstr>
      <vt:lpstr>Length1</vt:lpstr>
      <vt:lpstr>Length2</vt:lpstr>
      <vt:lpstr>ListClassification</vt:lpstr>
      <vt:lpstr>ListClearance</vt:lpstr>
      <vt:lpstr>ListCounties</vt:lpstr>
      <vt:lpstr>ListDetour</vt:lpstr>
      <vt:lpstr>ListDistricts</vt:lpstr>
      <vt:lpstr>ListFFS</vt:lpstr>
      <vt:lpstr>ListHCMType</vt:lpstr>
      <vt:lpstr>ListHours</vt:lpstr>
      <vt:lpstr>ListIntensity</vt:lpstr>
      <vt:lpstr>ListLaneWidth</vt:lpstr>
      <vt:lpstr>ListLSWZ</vt:lpstr>
      <vt:lpstr>ListMedian</vt:lpstr>
      <vt:lpstr>ListMiFt</vt:lpstr>
      <vt:lpstr>ListMonths</vt:lpstr>
      <vt:lpstr>ListTerrain</vt:lpstr>
      <vt:lpstr>ListWidth</vt:lpstr>
      <vt:lpstr>LoadedCT</vt:lpstr>
      <vt:lpstr>LoadedSU</vt:lpstr>
      <vt:lpstr>LSLCex1</vt:lpstr>
      <vt:lpstr>LSLCex2</vt:lpstr>
      <vt:lpstr>LSLCwz1</vt:lpstr>
      <vt:lpstr>LSLCwz2</vt:lpstr>
      <vt:lpstr>LWFactor1</vt:lpstr>
      <vt:lpstr>LWFactor2</vt:lpstr>
      <vt:lpstr>MAHI</vt:lpstr>
      <vt:lpstr>MAHIadjBUSINESS</vt:lpstr>
      <vt:lpstr>MAHIadjINTERCITY</vt:lpstr>
      <vt:lpstr>MAHIadjLOCAL</vt:lpstr>
      <vt:lpstr>MAHIoverride</vt:lpstr>
      <vt:lpstr>MainDirection</vt:lpstr>
      <vt:lpstr>MedianFactor</vt:lpstr>
      <vt:lpstr>MedianType</vt:lpstr>
      <vt:lpstr>Month</vt:lpstr>
      <vt:lpstr>Monthly</vt:lpstr>
      <vt:lpstr>OperatingCT1</vt:lpstr>
      <vt:lpstr>OperatingCT2</vt:lpstr>
      <vt:lpstr>OperatingPC1</vt:lpstr>
      <vt:lpstr>OperatingPC2</vt:lpstr>
      <vt:lpstr>OperatingRV1</vt:lpstr>
      <vt:lpstr>OperatingRV2</vt:lpstr>
      <vt:lpstr>OperatingSU1</vt:lpstr>
      <vt:lpstr>OperatingSU2</vt:lpstr>
      <vt:lpstr>PayloadCT</vt:lpstr>
      <vt:lpstr>PayloadSU</vt:lpstr>
      <vt:lpstr>pctADTCT1</vt:lpstr>
      <vt:lpstr>pctADTCT2</vt:lpstr>
      <vt:lpstr>pctADTPC1</vt:lpstr>
      <vt:lpstr>pctADTPC2</vt:lpstr>
      <vt:lpstr>pctADTRV1</vt:lpstr>
      <vt:lpstr>pctADTRV2</vt:lpstr>
      <vt:lpstr>pctADTSU1</vt:lpstr>
      <vt:lpstr>pctADTSU2</vt:lpstr>
      <vt:lpstr>pctADTTrk1</vt:lpstr>
      <vt:lpstr>pctADTTrk2</vt:lpstr>
      <vt:lpstr>PCTRBusiness</vt:lpstr>
      <vt:lpstr>PCTRPersonal</vt:lpstr>
      <vt:lpstr>Input!Print_Area</vt:lpstr>
      <vt:lpstr>Report!Print_Area</vt:lpstr>
      <vt:lpstr>Summary!Print_Area</vt:lpstr>
      <vt:lpstr>Report!Print_Titles</vt:lpstr>
      <vt:lpstr>ProjectName</vt:lpstr>
      <vt:lpstr>QDecel1ct</vt:lpstr>
      <vt:lpstr>QDecel1pc</vt:lpstr>
      <vt:lpstr>QDecel1rv</vt:lpstr>
      <vt:lpstr>QDecel1su</vt:lpstr>
      <vt:lpstr>QDecel2ct</vt:lpstr>
      <vt:lpstr>QDecel2pc</vt:lpstr>
      <vt:lpstr>QDecel2rv</vt:lpstr>
      <vt:lpstr>QDecel2su</vt:lpstr>
      <vt:lpstr>QSpeed</vt:lpstr>
      <vt:lpstr>Qspeed1</vt:lpstr>
      <vt:lpstr>Qspeed2</vt:lpstr>
      <vt:lpstr>Route</vt:lpstr>
      <vt:lpstr>RpctCT1</vt:lpstr>
      <vt:lpstr>RpctCT2</vt:lpstr>
      <vt:lpstr>RpctSU1</vt:lpstr>
      <vt:lpstr>RpctSU2</vt:lpstr>
      <vt:lpstr>RSLCex1</vt:lpstr>
      <vt:lpstr>RSLCex2</vt:lpstr>
      <vt:lpstr>RSLCwz1</vt:lpstr>
      <vt:lpstr>RSLCwz2</vt:lpstr>
      <vt:lpstr>s</vt:lpstr>
      <vt:lpstr>ScenarioDescription</vt:lpstr>
      <vt:lpstr>SecondDetourName</vt:lpstr>
      <vt:lpstr>SecondDetourOption</vt:lpstr>
      <vt:lpstr>SecondDirection</vt:lpstr>
      <vt:lpstr>Section</vt:lpstr>
      <vt:lpstr>Split1</vt:lpstr>
      <vt:lpstr>Split2</vt:lpstr>
      <vt:lpstr>TableAddedTime</vt:lpstr>
      <vt:lpstr>TableAPDAdj</vt:lpstr>
      <vt:lpstr>TableAPDDefaults</vt:lpstr>
      <vt:lpstr>TableBaseCapFW</vt:lpstr>
      <vt:lpstr>TableBaseCapML</vt:lpstr>
      <vt:lpstr>TableBaseCapTL</vt:lpstr>
      <vt:lpstr>TableClassification</vt:lpstr>
      <vt:lpstr>TableCPI</vt:lpstr>
      <vt:lpstr>TableDirDefaults</vt:lpstr>
      <vt:lpstr>TableFC2TPG</vt:lpstr>
      <vt:lpstr>TableFFSDefaults</vt:lpstr>
      <vt:lpstr>TableFuelConsumption</vt:lpstr>
      <vt:lpstr>TableHourly</vt:lpstr>
      <vt:lpstr>TableIntensity</vt:lpstr>
      <vt:lpstr>TableLengths</vt:lpstr>
      <vt:lpstr>TableLSAdj</vt:lpstr>
      <vt:lpstr>TableLSLCDefaults</vt:lpstr>
      <vt:lpstr>TableLTWZCap</vt:lpstr>
      <vt:lpstr>TableMedianAdj</vt:lpstr>
      <vt:lpstr>TableMonthly</vt:lpstr>
      <vt:lpstr>TableNIPA</vt:lpstr>
      <vt:lpstr>TablePCE</vt:lpstr>
      <vt:lpstr>TablePopDefaults</vt:lpstr>
      <vt:lpstr>TablePPI</vt:lpstr>
      <vt:lpstr>TableRSLCAdj</vt:lpstr>
      <vt:lpstr>TableRSLCDefaults</vt:lpstr>
      <vt:lpstr>TableShoulderAdj</vt:lpstr>
      <vt:lpstr>TableSTWZCap</vt:lpstr>
      <vt:lpstr>TableTerrainDefaults</vt:lpstr>
      <vt:lpstr>TableTLCAdj</vt:lpstr>
      <vt:lpstr>TableTPG2HCM</vt:lpstr>
      <vt:lpstr>TableTranslation1A</vt:lpstr>
      <vt:lpstr>TableTranslation1B</vt:lpstr>
      <vt:lpstr>TableTruckDefaults</vt:lpstr>
      <vt:lpstr>TableWidthCapAdj</vt:lpstr>
      <vt:lpstr>TableWidthDefaults</vt:lpstr>
      <vt:lpstr>TableWidthSpdAdj</vt:lpstr>
      <vt:lpstr>Taper1</vt:lpstr>
      <vt:lpstr>Taper2</vt:lpstr>
      <vt:lpstr>Terrain</vt:lpstr>
      <vt:lpstr>ThirdDetourName</vt:lpstr>
      <vt:lpstr>ThirdDetourOption</vt:lpstr>
      <vt:lpstr>TimeEnd1</vt:lpstr>
      <vt:lpstr>TimeEnd2</vt:lpstr>
      <vt:lpstr>TimeEX1</vt:lpstr>
      <vt:lpstr>TimeEX2</vt:lpstr>
      <vt:lpstr>TimeStart1</vt:lpstr>
      <vt:lpstr>TimeStart2</vt:lpstr>
      <vt:lpstr>TimeWZ1</vt:lpstr>
      <vt:lpstr>TimeWZ2</vt:lpstr>
      <vt:lpstr>TrafficPatternGroup</vt:lpstr>
      <vt:lpstr>TravelCostCT</vt:lpstr>
      <vt:lpstr>TravelCostPC</vt:lpstr>
      <vt:lpstr>TravelCostPCb</vt:lpstr>
      <vt:lpstr>TravelCostPCp</vt:lpstr>
      <vt:lpstr>TravelCostSU</vt:lpstr>
      <vt:lpstr>TRDentry1</vt:lpstr>
      <vt:lpstr>TRDentry2</vt:lpstr>
      <vt:lpstr>TRDFactor1</vt:lpstr>
      <vt:lpstr>TRDFactor2</vt:lpstr>
      <vt:lpstr>VOCct</vt:lpstr>
      <vt:lpstr>VOCpc</vt:lpstr>
      <vt:lpstr>VOCrv</vt:lpstr>
      <vt:lpstr>VOCsu</vt:lpstr>
      <vt:lpstr>WidthEX1</vt:lpstr>
      <vt:lpstr>WidthEX2</vt:lpstr>
      <vt:lpstr>WidthWZ1</vt:lpstr>
      <vt:lpstr>WidthWZ2</vt:lpstr>
      <vt:lpstr>wzBFFS1</vt:lpstr>
      <vt:lpstr>wzBFFS2</vt:lpstr>
      <vt:lpstr>WZCap1</vt:lpstr>
      <vt:lpstr>WZCap2</vt:lpstr>
      <vt:lpstr>WZCapBase1</vt:lpstr>
      <vt:lpstr>WZCapBase2</vt:lpstr>
      <vt:lpstr>wzFFS1</vt:lpstr>
      <vt:lpstr>wzFFS2</vt:lpstr>
      <vt:lpstr>WZPCE1</vt:lpstr>
      <vt:lpstr>WZPCE2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Varmecky, Brian M.</dc:creator>
  <cp:lastModifiedBy>Varmecky, Brian M.</cp:lastModifiedBy>
  <cp:lastPrinted>2019-05-22T15:45:22Z</cp:lastPrinted>
  <dcterms:created xsi:type="dcterms:W3CDTF">2013-02-08T17:56:45Z</dcterms:created>
  <dcterms:modified xsi:type="dcterms:W3CDTF">2019-07-17T14:03:17Z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0x010100B0D49D6C089DD64994CBFA6F364C1649</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